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25" yWindow="1200" windowWidth="26970" windowHeight="11955"/>
  </bookViews>
  <sheets>
    <sheet name="CG Envelopes" sheetId="1" r:id="rId1"/>
    <sheet name="Loading Graph" sheetId="2" r:id="rId2"/>
  </sheets>
  <externalReferences>
    <externalReference r:id="rId3"/>
  </externalReferences>
  <definedNames>
    <definedName name="Arrival_CG">'[1]CG Envelopes'!$O$14</definedName>
    <definedName name="Arrival_Fuel">'CG Envelopes'!$P$13</definedName>
    <definedName name="Arrival_Fuel_Weight">'CG Envelopes'!$Q$13</definedName>
    <definedName name="Bag_1">'CG Envelopes'!$B$13</definedName>
    <definedName name="Bag_1_Max">'CG Envelopes'!$B$25</definedName>
    <definedName name="Bag_2">'CG Envelopes'!$B$14</definedName>
    <definedName name="Bag_2_Max">'CG Envelopes'!$B$26</definedName>
    <definedName name="Baggage_1">'CG Envelopes'!$H$11</definedName>
    <definedName name="Baggage_1_Arm">'CG Envelopes'!$I$11</definedName>
    <definedName name="Baggage_1_Moment">'CG Envelopes'!$J$11</definedName>
    <definedName name="Baggage_2">'CG Envelopes'!$H$12</definedName>
    <definedName name="Baggage_2_Arm">'CG Envelopes'!$I$12</definedName>
    <definedName name="Baggage_2_Moment">'CG Envelopes'!$J$12</definedName>
    <definedName name="CoPilot">'CG Envelopes'!$B$10</definedName>
    <definedName name="Departure_CG">'CG Envelopes'!$J$16</definedName>
    <definedName name="Departure_Fuel">'CG Envelopes'!$G$13</definedName>
    <definedName name="Departure_Fuel_Moment">'CG Envelopes'!$J$14</definedName>
    <definedName name="Departure_Fuel_Weight">'CG Envelopes'!$H$13</definedName>
    <definedName name="Empty_Arm">'CG Envelopes'!$I$8</definedName>
    <definedName name="Empty_Moment">'CG Envelopes'!$J$8</definedName>
    <definedName name="Empty_Weight">'CG Envelopes'!$H$8</definedName>
    <definedName name="Engine_Oil">'CG Envelopes'!#REF!</definedName>
    <definedName name="Engine_oil_arm">'CG Envelopes'!#REF!</definedName>
    <definedName name="Engine_oil_moment">'CG Envelopes'!#REF!</definedName>
    <definedName name="Engine_oil_weight">'CG Envelopes'!#REF!</definedName>
    <definedName name="Flight_Time">'CG Envelopes'!$B$17</definedName>
    <definedName name="Front_Passenger_Arm">'CG Envelopes'!$I$9</definedName>
    <definedName name="Front_Passenger_Moment">'CG Envelopes'!$J$9</definedName>
    <definedName name="Front_Passengers">'CG Envelopes'!$H$9</definedName>
    <definedName name="Fuel">'CG Envelopes'!$B$7</definedName>
    <definedName name="Fuel_Arm">'CG Envelopes'!$I$13</definedName>
    <definedName name="Fuel_burn">'CG Envelopes'!$B$18</definedName>
    <definedName name="Grnd_Ops_Fuel">'CG Envelopes'!$G$14</definedName>
    <definedName name="Grnd_Ops_Fuel_Weight">'CG Envelopes'!$H$14</definedName>
    <definedName name="Gross_Weight">'CG Envelopes'!$B$27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Oil">'CG Envelopes'!$B$8</definedName>
    <definedName name="Pilot">'CG Envelopes'!$B$9</definedName>
    <definedName name="_xlnm.Print_Area" localSheetId="0">'CG Envelopes'!$E$1:$S$37</definedName>
    <definedName name="_xlnm.Print_Area" localSheetId="1">'Loading Graph'!$C$1:$N$36</definedName>
    <definedName name="Rear_Pass_1">'CG Envelopes'!$B$11</definedName>
    <definedName name="Rear_Pass_2">'CG Envelopes'!$B$12</definedName>
    <definedName name="Rear_Passenger_Arm">'CG Envelopes'!$I$10</definedName>
    <definedName name="Rear_Passenger_Moment">'CG Envelopes'!$J$10</definedName>
    <definedName name="Rear_Passengers">'CG Envelopes'!$H$10</definedName>
    <definedName name="Total_Arrival_Arm">'CG Envelopes'!$R$14</definedName>
    <definedName name="Total_Arrival_Moment">'CG Envelopes'!$S$14</definedName>
    <definedName name="Total_Arrival_Weight">'CG Envelopes'!$Q$14</definedName>
    <definedName name="Total_Departure_Arm">'CG Envelopes'!$I$15</definedName>
    <definedName name="Total_Departure_Moment">'CG Envelopes'!$J$15</definedName>
    <definedName name="Total_Departure_Weight">'CG Envelopes'!$H$15</definedName>
  </definedNames>
  <calcPr calcId="171026"/>
</workbook>
</file>

<file path=xl/calcChain.xml><?xml version="1.0" encoding="utf-8"?>
<calcChain xmlns="http://schemas.openxmlformats.org/spreadsheetml/2006/main">
  <c r="H9" i="1" l="1"/>
  <c r="H10" i="1"/>
  <c r="G13" i="1"/>
  <c r="P13" i="1"/>
  <c r="D14" i="1"/>
  <c r="D13" i="1"/>
  <c r="H12" i="1"/>
  <c r="H11" i="1"/>
  <c r="J12" i="1"/>
  <c r="I12" i="1"/>
  <c r="J11" i="1"/>
  <c r="I11" i="1"/>
  <c r="J10" i="1"/>
  <c r="I10" i="1"/>
  <c r="J9" i="1"/>
  <c r="I9" i="1"/>
  <c r="I8" i="1"/>
  <c r="S17" i="2"/>
  <c r="R25" i="2"/>
  <c r="R17" i="2"/>
  <c r="Z9" i="1"/>
  <c r="X13" i="1"/>
  <c r="X14" i="1"/>
  <c r="Z8" i="1"/>
  <c r="Q8" i="1"/>
  <c r="R8" i="1"/>
  <c r="S8" i="1"/>
  <c r="S9" i="1"/>
  <c r="Q9" i="1"/>
  <c r="R9" i="1"/>
  <c r="S10" i="1"/>
  <c r="Q10" i="1"/>
  <c r="R10" i="1"/>
  <c r="S11" i="1"/>
  <c r="Q11" i="1"/>
  <c r="R11" i="1"/>
  <c r="Q12" i="1"/>
  <c r="R12" i="1"/>
  <c r="H13" i="1"/>
  <c r="J13" i="1"/>
  <c r="Q13" i="1"/>
  <c r="H14" i="1"/>
  <c r="J14" i="1"/>
  <c r="I14" i="1"/>
  <c r="I13" i="1"/>
  <c r="H15" i="1"/>
  <c r="Q14" i="1"/>
  <c r="S12" i="1"/>
  <c r="B16" i="1"/>
  <c r="B19" i="1"/>
  <c r="C19" i="1"/>
  <c r="R13" i="1"/>
  <c r="S13" i="1"/>
  <c r="S14" i="1"/>
  <c r="R14" i="1"/>
  <c r="S15" i="1"/>
  <c r="J15" i="1"/>
  <c r="I15" i="1"/>
  <c r="J16" i="1"/>
  <c r="B20" i="1"/>
  <c r="C20" i="1"/>
  <c r="B21" i="1"/>
  <c r="C21" i="1"/>
</calcChain>
</file>

<file path=xl/sharedStrings.xml><?xml version="1.0" encoding="utf-8"?>
<sst xmlns="http://schemas.openxmlformats.org/spreadsheetml/2006/main" count="92" uniqueCount="60">
  <si>
    <t>Basic Information</t>
  </si>
  <si>
    <t>Aircraft Ident:</t>
  </si>
  <si>
    <t xml:space="preserve">Aircraft Type: </t>
  </si>
  <si>
    <t>Departure Date:</t>
  </si>
  <si>
    <t>Departure Time:</t>
  </si>
  <si>
    <t>Weight and Balance at Departure</t>
  </si>
  <si>
    <t>Weight and Balance at Arrival</t>
  </si>
  <si>
    <t>Loads</t>
  </si>
  <si>
    <t>Weight</t>
  </si>
  <si>
    <t>Arm</t>
  </si>
  <si>
    <t>Moment</t>
  </si>
  <si>
    <t>Moment Env</t>
  </si>
  <si>
    <t>CG Envelope</t>
  </si>
  <si>
    <t>(Pounds)</t>
  </si>
  <si>
    <t>(Inches)</t>
  </si>
  <si>
    <t>/1000</t>
  </si>
  <si>
    <t>CG Locn</t>
  </si>
  <si>
    <t xml:space="preserve">Empty Aircraft:  </t>
  </si>
  <si>
    <t xml:space="preserve">Front Passengers:  </t>
  </si>
  <si>
    <t xml:space="preserve">Rear Passengers:  </t>
  </si>
  <si>
    <t xml:space="preserve">Baggage (Area 1):  </t>
  </si>
  <si>
    <t xml:space="preserve">Baggage (Area 2):  </t>
  </si>
  <si>
    <t xml:space="preserve">Fuel (Gal):  </t>
  </si>
  <si>
    <t xml:space="preserve">Totals:  </t>
  </si>
  <si>
    <t xml:space="preserve">CG = Total Moment / Total Weight:  </t>
  </si>
  <si>
    <t xml:space="preserve">Grnd Ops All:  </t>
  </si>
  <si>
    <t>Item</t>
  </si>
  <si>
    <t>Pass</t>
  </si>
  <si>
    <t>Fuel</t>
  </si>
  <si>
    <t>Rear Pass</t>
  </si>
  <si>
    <t>Bag1</t>
  </si>
  <si>
    <t>Bag2</t>
  </si>
  <si>
    <t>C-182p</t>
  </si>
  <si>
    <t>C-182P Weight and Balance Envelope (Normal)</t>
  </si>
  <si>
    <t>Gross Weight</t>
  </si>
  <si>
    <t>Pilot</t>
  </si>
  <si>
    <t>CoPilot</t>
  </si>
  <si>
    <t>Rear Pass 1</t>
  </si>
  <si>
    <t>Rear Pass 2</t>
  </si>
  <si>
    <t>Baggage 1</t>
  </si>
  <si>
    <t>Baggage 2</t>
  </si>
  <si>
    <t>Oil</t>
  </si>
  <si>
    <t>Gal</t>
  </si>
  <si>
    <t>Qts</t>
  </si>
  <si>
    <t>lbs</t>
  </si>
  <si>
    <t>lbs (0-120)</t>
  </si>
  <si>
    <t>lbs(0-80)</t>
  </si>
  <si>
    <t>Aft CG</t>
  </si>
  <si>
    <t>in</t>
  </si>
  <si>
    <t>Maximums</t>
  </si>
  <si>
    <t>Available wgt.</t>
  </si>
  <si>
    <t>Takeoff CG:</t>
  </si>
  <si>
    <t>Landing CG:</t>
  </si>
  <si>
    <t>Takeoff Gross:</t>
  </si>
  <si>
    <t>SLOPE</t>
  </si>
  <si>
    <t>INTERCEPT</t>
  </si>
  <si>
    <t>Flight Time</t>
  </si>
  <si>
    <t>Fuel burn</t>
  </si>
  <si>
    <t>gal/hr</t>
  </si>
  <si>
    <t>hr.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</si>
</sst>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\ \ "/>
    <numFmt numFmtId="166" formatCode="#,##0\ \ "/>
    <numFmt numFmtId="167" formatCode="0.0\ \ "/>
  </numFmts>
  <fonts count="26" x14ac:knownFonts="1">
    <font>
      <sz val="10"/>
      <name val="MS Sans Serif"/>
    </font>
    <font>
      <sz val="21"/>
      <name val="MS Sans Serif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MS Sans Serif"/>
      <family val="2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b/>
      <sz val="11"/>
      <color indexed="9"/>
      <name val="Arial Narrow"/>
      <family val="2"/>
    </font>
    <font>
      <i/>
      <sz val="11"/>
      <color indexed="23"/>
      <name val="Arial Narrow"/>
      <family val="2"/>
    </font>
    <font>
      <b/>
      <sz val="11"/>
      <color indexed="8"/>
      <name val="Arial Narrow"/>
      <family val="2"/>
    </font>
    <font>
      <sz val="11"/>
      <color indexed="10"/>
      <name val="Arial Narrow"/>
      <family val="2"/>
    </font>
    <font>
      <sz val="11"/>
      <color rgb="FF9C0006"/>
      <name val="Arial Narrow"/>
      <family val="2"/>
    </font>
    <font>
      <b/>
      <sz val="11"/>
      <color rgb="FFFA7D00"/>
      <name val="Arial Narrow"/>
      <family val="2"/>
    </font>
    <font>
      <sz val="11"/>
      <color rgb="FF006100"/>
      <name val="Arial Narrow"/>
      <family val="2"/>
    </font>
    <font>
      <b/>
      <sz val="15"/>
      <color rgb="FF1F4A7E"/>
      <name val="Arial Narrow"/>
      <family val="2"/>
    </font>
    <font>
      <b/>
      <sz val="13"/>
      <color rgb="FF1F4A7E"/>
      <name val="Arial Narrow"/>
      <family val="2"/>
    </font>
    <font>
      <b/>
      <sz val="11"/>
      <color rgb="FF1F4A7E"/>
      <name val="Arial Narrow"/>
      <family val="2"/>
    </font>
    <font>
      <sz val="11"/>
      <color rgb="FF3F3F76"/>
      <name val="Arial Narrow"/>
      <family val="2"/>
    </font>
    <font>
      <sz val="11"/>
      <color rgb="FFFA7D00"/>
      <name val="Arial Narrow"/>
      <family val="2"/>
    </font>
    <font>
      <sz val="11"/>
      <color rgb="FF9C6500"/>
      <name val="Arial Narrow"/>
      <family val="2"/>
    </font>
    <font>
      <b/>
      <sz val="11"/>
      <color rgb="FF3F3F3F"/>
      <name val="Arial Narrow"/>
      <family val="2"/>
    </font>
    <font>
      <b/>
      <sz val="18"/>
      <color rgb="FF1F4A7E"/>
      <name val="Cambria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2B4B72"/>
      </patternFill>
    </fill>
    <fill>
      <patternFill patternType="solid">
        <fgColor rgb="FF752B29"/>
      </patternFill>
    </fill>
    <fill>
      <patternFill patternType="solid">
        <fgColor rgb="FF5B722E"/>
      </patternFill>
    </fill>
    <fill>
      <patternFill patternType="solid">
        <fgColor rgb="FF4A395F"/>
      </patternFill>
    </fill>
    <fill>
      <patternFill patternType="solid">
        <fgColor rgb="FF26687A"/>
      </patternFill>
    </fill>
    <fill>
      <patternFill patternType="solid">
        <fgColor rgb="FFB15407"/>
      </patternFill>
    </fill>
    <fill>
      <patternFill patternType="solid">
        <fgColor rgb="FF7199C9"/>
      </patternFill>
    </fill>
    <fill>
      <patternFill patternType="solid">
        <fgColor rgb="FFCC716E"/>
      </patternFill>
    </fill>
    <fill>
      <patternFill patternType="solid">
        <fgColor rgb="FFADC777"/>
      </patternFill>
    </fill>
    <fill>
      <patternFill patternType="solid">
        <fgColor rgb="FF9680B2"/>
      </patternFill>
    </fill>
    <fill>
      <patternFill patternType="solid">
        <fgColor rgb="FF6EBBD1"/>
      </patternFill>
    </fill>
    <fill>
      <patternFill patternType="solid">
        <fgColor rgb="FFF8A967"/>
      </patternFill>
    </fill>
    <fill>
      <patternFill patternType="solid">
        <fgColor rgb="FFDAE4F1"/>
      </patternFill>
    </fill>
    <fill>
      <patternFill patternType="solid">
        <fgColor rgb="FFF1DAD9"/>
      </patternFill>
    </fill>
    <fill>
      <patternFill patternType="solid">
        <fgColor rgb="FFE9F0DB"/>
      </patternFill>
    </fill>
    <fill>
      <patternFill patternType="solid">
        <fgColor rgb="FFE3DEEB"/>
      </patternFill>
    </fill>
    <fill>
      <patternFill patternType="solid">
        <fgColor rgb="FFD9EDF3"/>
      </patternFill>
    </fill>
    <fill>
      <patternFill patternType="solid">
        <fgColor rgb="FFFDE8D7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5BEDD"/>
      </bottom>
      <diagonal/>
    </border>
    <border>
      <left/>
      <right/>
      <top/>
      <bottom style="medium">
        <color rgb="FFDAE4F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double">
        <color indexed="64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double">
        <color indexed="64"/>
      </right>
      <top style="thin">
        <color auto="1"/>
      </top>
      <bottom style="thick">
        <color auto="1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42">
    <xf numFmtId="0" fontId="0" fillId="0" borderId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12" fillId="28" borderId="0" applyNumberFormat="0" applyBorder="0" applyAlignment="0" applyProtection="0"/>
    <xf numFmtId="0" fontId="13" fillId="29" borderId="31" applyNumberFormat="0" applyAlignment="0" applyProtection="0"/>
    <xf numFmtId="0" fontId="8" fillId="30" borderId="32" applyNumberFormat="0" applyAlignment="0" applyProtection="0"/>
    <xf numFmtId="0" fontId="9" fillId="0" borderId="0" applyNumberFormat="0" applyFill="0" applyBorder="0" applyAlignment="0" applyProtection="0"/>
    <xf numFmtId="0" fontId="14" fillId="31" borderId="0" applyNumberFormat="0" applyBorder="0" applyAlignment="0" applyProtection="0"/>
    <xf numFmtId="0" fontId="15" fillId="0" borderId="33" applyNumberFormat="0" applyFill="0" applyAlignment="0" applyProtection="0"/>
    <xf numFmtId="0" fontId="16" fillId="0" borderId="34" applyNumberFormat="0" applyFill="0" applyAlignment="0" applyProtection="0"/>
    <xf numFmtId="0" fontId="17" fillId="0" borderId="35" applyNumberFormat="0" applyFill="0" applyAlignment="0" applyProtection="0"/>
    <xf numFmtId="0" fontId="17" fillId="0" borderId="0" applyNumberFormat="0" applyFill="0" applyBorder="0" applyAlignment="0" applyProtection="0"/>
    <xf numFmtId="0" fontId="18" fillId="32" borderId="31" applyNumberFormat="0" applyAlignment="0" applyProtection="0"/>
    <xf numFmtId="0" fontId="19" fillId="0" borderId="36" applyNumberFormat="0" applyFill="0" applyAlignment="0" applyProtection="0"/>
    <xf numFmtId="0" fontId="20" fillId="33" borderId="0" applyNumberFormat="0" applyBorder="0" applyAlignment="0" applyProtection="0"/>
    <xf numFmtId="0" fontId="1" fillId="34" borderId="37" applyNumberFormat="0" applyFont="0" applyAlignment="0" applyProtection="0"/>
    <xf numFmtId="0" fontId="21" fillId="29" borderId="38" applyNumberFormat="0" applyAlignment="0" applyProtection="0"/>
    <xf numFmtId="0" fontId="22" fillId="0" borderId="0" applyNumberFormat="0" applyFill="0" applyBorder="0" applyAlignment="0" applyProtection="0"/>
    <xf numFmtId="0" fontId="10" fillId="0" borderId="39" applyNumberFormat="0" applyFill="0" applyAlignment="0" applyProtection="0"/>
    <xf numFmtId="0" fontId="11" fillId="0" borderId="0" applyNumberFormat="0" applyFill="0" applyBorder="0" applyAlignment="0" applyProtection="0"/>
  </cellStyleXfs>
  <cellXfs count="150">
    <xf numFmtId="0" fontId="0" fillId="0" borderId="0" xfId="0"/>
    <xf numFmtId="164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Fill="1" applyBorder="1"/>
    <xf numFmtId="0" fontId="2" fillId="0" borderId="0" xfId="0" applyFont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/>
    <xf numFmtId="0" fontId="2" fillId="0" borderId="1" xfId="0" applyFont="1" applyBorder="1"/>
    <xf numFmtId="1" fontId="2" fillId="0" borderId="1" xfId="0" applyNumberFormat="1" applyFont="1" applyBorder="1"/>
    <xf numFmtId="1" fontId="2" fillId="0" borderId="1" xfId="0" applyNumberFormat="1" applyFont="1" applyFill="1" applyBorder="1"/>
    <xf numFmtId="164" fontId="2" fillId="0" borderId="1" xfId="0" applyNumberFormat="1" applyFont="1" applyFill="1" applyBorder="1"/>
    <xf numFmtId="164" fontId="2" fillId="0" borderId="1" xfId="0" applyNumberFormat="1" applyFont="1" applyBorder="1" applyAlignment="1">
      <alignment horizontal="right"/>
    </xf>
    <xf numFmtId="2" fontId="2" fillId="1" borderId="1" xfId="0" applyNumberFormat="1" applyFont="1" applyFill="1" applyBorder="1"/>
    <xf numFmtId="164" fontId="4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/>
    <xf numFmtId="0" fontId="4" fillId="0" borderId="0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right"/>
    </xf>
    <xf numFmtId="0" fontId="4" fillId="0" borderId="4" xfId="0" applyFont="1" applyFill="1" applyBorder="1"/>
    <xf numFmtId="0" fontId="4" fillId="0" borderId="5" xfId="0" applyFont="1" applyFill="1" applyBorder="1"/>
    <xf numFmtId="1" fontId="4" fillId="0" borderId="3" xfId="0" applyNumberFormat="1" applyFont="1" applyFill="1" applyBorder="1" applyAlignment="1">
      <alignment horizontal="right"/>
    </xf>
    <xf numFmtId="14" fontId="4" fillId="0" borderId="4" xfId="0" applyNumberFormat="1" applyFont="1" applyFill="1" applyBorder="1"/>
    <xf numFmtId="1" fontId="4" fillId="0" borderId="5" xfId="0" applyNumberFormat="1" applyFont="1" applyFill="1" applyBorder="1"/>
    <xf numFmtId="164" fontId="4" fillId="0" borderId="3" xfId="0" applyNumberFormat="1" applyFont="1" applyFill="1" applyBorder="1" applyAlignment="1">
      <alignment horizontal="right"/>
    </xf>
    <xf numFmtId="20" fontId="4" fillId="0" borderId="6" xfId="0" applyNumberFormat="1" applyFont="1" applyFill="1" applyBorder="1"/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/>
    <xf numFmtId="164" fontId="4" fillId="0" borderId="0" xfId="0" applyNumberFormat="1" applyFont="1" applyFill="1"/>
    <xf numFmtId="0" fontId="4" fillId="0" borderId="0" xfId="0" applyFont="1"/>
    <xf numFmtId="0" fontId="4" fillId="0" borderId="0" xfId="0" applyFont="1" applyFill="1" applyBorder="1" applyAlignment="1">
      <alignment horizontal="left"/>
    </xf>
    <xf numFmtId="0" fontId="5" fillId="0" borderId="0" xfId="0" applyFont="1"/>
    <xf numFmtId="0" fontId="4" fillId="0" borderId="7" xfId="0" applyFont="1" applyFill="1" applyBorder="1" applyAlignment="1">
      <alignment horizontal="centerContinuous"/>
    </xf>
    <xf numFmtId="164" fontId="4" fillId="0" borderId="8" xfId="0" applyNumberFormat="1" applyFont="1" applyFill="1" applyBorder="1" applyAlignment="1">
      <alignment horizontal="centerContinuous"/>
    </xf>
    <xf numFmtId="0" fontId="4" fillId="0" borderId="8" xfId="0" applyFont="1" applyFill="1" applyBorder="1" applyAlignment="1">
      <alignment horizontal="centerContinuous"/>
    </xf>
    <xf numFmtId="0" fontId="4" fillId="0" borderId="9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8" xfId="0" applyFont="1" applyBorder="1" applyAlignment="1">
      <alignment horizontal="centerContinuous"/>
    </xf>
    <xf numFmtId="0" fontId="4" fillId="0" borderId="9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Fill="1" applyBorder="1" applyAlignment="1">
      <alignment horizontal="left"/>
    </xf>
    <xf numFmtId="164" fontId="4" fillId="0" borderId="21" xfId="0" applyNumberFormat="1" applyFont="1" applyFill="1" applyBorder="1"/>
    <xf numFmtId="0" fontId="4" fillId="0" borderId="16" xfId="0" applyFont="1" applyBorder="1"/>
    <xf numFmtId="164" fontId="4" fillId="0" borderId="22" xfId="0" applyNumberFormat="1" applyFont="1" applyFill="1" applyBorder="1"/>
    <xf numFmtId="0" fontId="4" fillId="0" borderId="16" xfId="0" applyFont="1" applyFill="1" applyBorder="1" applyAlignment="1">
      <alignment horizontal="left"/>
    </xf>
    <xf numFmtId="0" fontId="4" fillId="0" borderId="21" xfId="0" applyFont="1" applyFill="1" applyBorder="1"/>
    <xf numFmtId="164" fontId="4" fillId="0" borderId="22" xfId="0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 horizontal="left"/>
    </xf>
    <xf numFmtId="164" fontId="4" fillId="0" borderId="8" xfId="0" applyNumberFormat="1" applyFont="1" applyFill="1" applyBorder="1"/>
    <xf numFmtId="0" fontId="4" fillId="0" borderId="2" xfId="0" applyFont="1" applyFill="1" applyBorder="1" applyAlignment="1">
      <alignment horizontal="left"/>
    </xf>
    <xf numFmtId="164" fontId="4" fillId="0" borderId="3" xfId="0" applyNumberFormat="1" applyFont="1" applyFill="1" applyBorder="1"/>
    <xf numFmtId="0" fontId="4" fillId="0" borderId="23" xfId="0" applyFont="1" applyFill="1" applyBorder="1" applyAlignment="1">
      <alignment horizontal="center"/>
    </xf>
    <xf numFmtId="167" fontId="4" fillId="0" borderId="21" xfId="0" applyNumberFormat="1" applyFont="1" applyFill="1" applyBorder="1" applyAlignment="1">
      <alignment horizontal="right"/>
    </xf>
    <xf numFmtId="167" fontId="4" fillId="0" borderId="16" xfId="0" applyNumberFormat="1" applyFont="1" applyFill="1" applyBorder="1" applyAlignment="1">
      <alignment horizontal="right"/>
    </xf>
    <xf numFmtId="167" fontId="4" fillId="0" borderId="22" xfId="0" applyNumberFormat="1" applyFont="1" applyFill="1" applyBorder="1" applyAlignment="1">
      <alignment horizontal="right"/>
    </xf>
    <xf numFmtId="167" fontId="4" fillId="0" borderId="8" xfId="0" applyNumberFormat="1" applyFont="1" applyFill="1" applyBorder="1" applyAlignment="1">
      <alignment horizontal="right"/>
    </xf>
    <xf numFmtId="167" fontId="4" fillId="0" borderId="3" xfId="0" applyNumberFormat="1" applyFont="1" applyFill="1" applyBorder="1"/>
    <xf numFmtId="167" fontId="4" fillId="0" borderId="24" xfId="0" applyNumberFormat="1" applyFont="1" applyFill="1" applyBorder="1" applyAlignment="1">
      <alignment horizontal="right"/>
    </xf>
    <xf numFmtId="14" fontId="4" fillId="0" borderId="4" xfId="0" applyNumberFormat="1" applyFont="1" applyFill="1" applyBorder="1" applyAlignment="1">
      <alignment horizontal="center"/>
    </xf>
    <xf numFmtId="0" fontId="3" fillId="2" borderId="20" xfId="0" applyFont="1" applyFill="1" applyBorder="1" applyAlignment="1">
      <alignment horizontal="left"/>
    </xf>
    <xf numFmtId="164" fontId="4" fillId="2" borderId="21" xfId="0" applyNumberFormat="1" applyFont="1" applyFill="1" applyBorder="1"/>
    <xf numFmtId="0" fontId="4" fillId="2" borderId="21" xfId="0" applyFont="1" applyFill="1" applyBorder="1"/>
    <xf numFmtId="1" fontId="4" fillId="2" borderId="21" xfId="0" applyNumberFormat="1" applyFont="1" applyFill="1" applyBorder="1"/>
    <xf numFmtId="164" fontId="4" fillId="2" borderId="25" xfId="0" applyNumberFormat="1" applyFont="1" applyFill="1" applyBorder="1"/>
    <xf numFmtId="167" fontId="4" fillId="2" borderId="26" xfId="0" applyNumberFormat="1" applyFont="1" applyFill="1" applyBorder="1"/>
    <xf numFmtId="167" fontId="4" fillId="2" borderId="27" xfId="0" applyNumberFormat="1" applyFont="1" applyFill="1" applyBorder="1"/>
    <xf numFmtId="167" fontId="4" fillId="2" borderId="19" xfId="0" applyNumberFormat="1" applyFont="1" applyFill="1" applyBorder="1"/>
    <xf numFmtId="167" fontId="4" fillId="2" borderId="17" xfId="0" applyNumberFormat="1" applyFont="1" applyFill="1" applyBorder="1"/>
    <xf numFmtId="167" fontId="4" fillId="2" borderId="10" xfId="0" applyNumberFormat="1" applyFont="1" applyFill="1" applyBorder="1"/>
    <xf numFmtId="167" fontId="4" fillId="2" borderId="11" xfId="0" applyNumberFormat="1" applyFont="1" applyFill="1" applyBorder="1"/>
    <xf numFmtId="167" fontId="4" fillId="2" borderId="18" xfId="0" applyNumberFormat="1" applyFont="1" applyFill="1" applyBorder="1"/>
    <xf numFmtId="167" fontId="4" fillId="2" borderId="9" xfId="0" applyNumberFormat="1" applyFont="1" applyFill="1" applyBorder="1"/>
    <xf numFmtId="167" fontId="4" fillId="2" borderId="6" xfId="0" applyNumberFormat="1" applyFont="1" applyFill="1" applyBorder="1"/>
    <xf numFmtId="165" fontId="4" fillId="2" borderId="16" xfId="0" applyNumberFormat="1" applyFont="1" applyFill="1" applyBorder="1"/>
    <xf numFmtId="166" fontId="4" fillId="2" borderId="17" xfId="0" applyNumberFormat="1" applyFont="1" applyFill="1" applyBorder="1" applyAlignment="1">
      <alignment horizontal="right"/>
    </xf>
    <xf numFmtId="0" fontId="4" fillId="2" borderId="9" xfId="0" applyFont="1" applyFill="1" applyBorder="1"/>
    <xf numFmtId="0" fontId="4" fillId="2" borderId="14" xfId="0" applyFont="1" applyFill="1" applyBorder="1" applyAlignment="1">
      <alignment horizontal="center"/>
    </xf>
    <xf numFmtId="0" fontId="4" fillId="2" borderId="14" xfId="0" applyFont="1" applyFill="1" applyBorder="1"/>
    <xf numFmtId="165" fontId="4" fillId="2" borderId="18" xfId="0" applyNumberFormat="1" applyFont="1" applyFill="1" applyBorder="1"/>
    <xf numFmtId="166" fontId="4" fillId="2" borderId="19" xfId="0" applyNumberFormat="1" applyFont="1" applyFill="1" applyBorder="1"/>
    <xf numFmtId="165" fontId="4" fillId="2" borderId="28" xfId="0" applyNumberFormat="1" applyFont="1" applyFill="1" applyBorder="1"/>
    <xf numFmtId="166" fontId="4" fillId="2" borderId="29" xfId="0" applyNumberFormat="1" applyFont="1" applyFill="1" applyBorder="1"/>
    <xf numFmtId="165" fontId="4" fillId="2" borderId="30" xfId="0" applyNumberFormat="1" applyFont="1" applyFill="1" applyBorder="1"/>
    <xf numFmtId="2" fontId="0" fillId="0" borderId="0" xfId="0" applyNumberFormat="1"/>
    <xf numFmtId="164" fontId="5" fillId="35" borderId="41" xfId="0" applyNumberFormat="1" applyFont="1" applyFill="1" applyBorder="1"/>
    <xf numFmtId="164" fontId="4" fillId="2" borderId="27" xfId="0" applyNumberFormat="1" applyFont="1" applyFill="1" applyBorder="1" applyAlignment="1">
      <alignment horizontal="right"/>
    </xf>
    <xf numFmtId="164" fontId="5" fillId="35" borderId="41" xfId="0" applyNumberFormat="1" applyFont="1" applyFill="1" applyBorder="1" applyAlignment="1">
      <alignment horizontal="right"/>
    </xf>
    <xf numFmtId="164" fontId="4" fillId="35" borderId="40" xfId="0" applyNumberFormat="1" applyFont="1" applyFill="1" applyBorder="1"/>
    <xf numFmtId="164" fontId="23" fillId="0" borderId="22" xfId="0" applyNumberFormat="1" applyFont="1" applyFill="1" applyBorder="1" applyAlignment="1">
      <alignment horizontal="right"/>
    </xf>
    <xf numFmtId="0" fontId="23" fillId="0" borderId="0" xfId="0" applyFont="1" applyFill="1" applyBorder="1"/>
    <xf numFmtId="167" fontId="4" fillId="37" borderId="18" xfId="0" applyNumberFormat="1" applyFont="1" applyFill="1" applyBorder="1"/>
    <xf numFmtId="167" fontId="4" fillId="37" borderId="17" xfId="0" applyNumberFormat="1" applyFont="1" applyFill="1" applyBorder="1"/>
    <xf numFmtId="0" fontId="23" fillId="0" borderId="42" xfId="0" applyFont="1" applyFill="1" applyBorder="1"/>
    <xf numFmtId="0" fontId="23" fillId="0" borderId="44" xfId="0" applyFont="1" applyFill="1" applyBorder="1"/>
    <xf numFmtId="0" fontId="23" fillId="0" borderId="46" xfId="0" applyFont="1" applyFill="1" applyBorder="1"/>
    <xf numFmtId="0" fontId="23" fillId="0" borderId="0" xfId="0" applyFont="1" applyFill="1" applyBorder="1" applyAlignment="1">
      <alignment horizontal="center"/>
    </xf>
    <xf numFmtId="0" fontId="23" fillId="0" borderId="51" xfId="0" applyFont="1" applyFill="1" applyBorder="1"/>
    <xf numFmtId="0" fontId="24" fillId="0" borderId="0" xfId="0" applyFont="1" applyFill="1" applyBorder="1"/>
    <xf numFmtId="0" fontId="24" fillId="0" borderId="52" xfId="0" applyFont="1" applyFill="1" applyBorder="1"/>
    <xf numFmtId="0" fontId="2" fillId="0" borderId="53" xfId="0" applyFont="1" applyFill="1" applyBorder="1"/>
    <xf numFmtId="0" fontId="24" fillId="0" borderId="54" xfId="0" applyFont="1" applyFill="1" applyBorder="1"/>
    <xf numFmtId="0" fontId="24" fillId="0" borderId="55" xfId="0" applyFont="1" applyFill="1" applyBorder="1"/>
    <xf numFmtId="0" fontId="24" fillId="0" borderId="56" xfId="0" applyFont="1" applyFill="1" applyBorder="1"/>
    <xf numFmtId="0" fontId="24" fillId="0" borderId="57" xfId="0" applyFont="1" applyFill="1" applyBorder="1"/>
    <xf numFmtId="0" fontId="2" fillId="0" borderId="58" xfId="0" applyFont="1" applyFill="1" applyBorder="1"/>
    <xf numFmtId="0" fontId="24" fillId="0" borderId="59" xfId="0" applyFont="1" applyFill="1" applyBorder="1"/>
    <xf numFmtId="0" fontId="25" fillId="0" borderId="0" xfId="0" applyFont="1" applyFill="1" applyBorder="1"/>
    <xf numFmtId="0" fontId="24" fillId="0" borderId="48" xfId="0" applyFont="1" applyFill="1" applyBorder="1"/>
    <xf numFmtId="0" fontId="24" fillId="0" borderId="49" xfId="0" applyFont="1" applyFill="1" applyBorder="1"/>
    <xf numFmtId="0" fontId="24" fillId="0" borderId="50" xfId="0" applyFont="1" applyFill="1" applyBorder="1"/>
    <xf numFmtId="166" fontId="4" fillId="0" borderId="21" xfId="0" applyNumberFormat="1" applyFont="1" applyFill="1" applyBorder="1"/>
    <xf numFmtId="0" fontId="24" fillId="0" borderId="44" xfId="0" applyFont="1" applyFill="1" applyBorder="1" applyAlignment="1">
      <alignment horizontal="right"/>
    </xf>
    <xf numFmtId="0" fontId="2" fillId="0" borderId="41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4" fillId="0" borderId="46" xfId="0" applyFont="1" applyFill="1" applyBorder="1" applyAlignment="1">
      <alignment horizontal="right"/>
    </xf>
    <xf numFmtId="0" fontId="2" fillId="0" borderId="60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2" fontId="4" fillId="35" borderId="40" xfId="0" applyNumberFormat="1" applyFont="1" applyFill="1" applyBorder="1"/>
    <xf numFmtId="0" fontId="24" fillId="0" borderId="61" xfId="0" applyFont="1" applyBorder="1" applyAlignment="1">
      <alignment horizontal="right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4" xfId="0" applyFont="1" applyFill="1" applyBorder="1"/>
    <xf numFmtId="0" fontId="2" fillId="0" borderId="66" xfId="0" applyFont="1" applyFill="1" applyBorder="1"/>
    <xf numFmtId="0" fontId="2" fillId="0" borderId="67" xfId="0" applyFont="1" applyBorder="1"/>
    <xf numFmtId="0" fontId="2" fillId="0" borderId="69" xfId="0" applyFont="1" applyBorder="1"/>
    <xf numFmtId="0" fontId="4" fillId="36" borderId="43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4" fillId="36" borderId="45" xfId="0" applyFont="1" applyFill="1" applyBorder="1" applyProtection="1">
      <protection locked="0"/>
    </xf>
    <xf numFmtId="0" fontId="4" fillId="36" borderId="47" xfId="0" applyFont="1" applyFill="1" applyBorder="1" applyProtection="1">
      <protection locked="0"/>
    </xf>
    <xf numFmtId="0" fontId="4" fillId="36" borderId="65" xfId="0" applyFont="1" applyFill="1" applyBorder="1" applyProtection="1">
      <protection locked="0"/>
    </xf>
    <xf numFmtId="0" fontId="4" fillId="36" borderId="68" xfId="0" applyFont="1" applyFill="1" applyBorder="1" applyProtection="1">
      <protection locked="0"/>
    </xf>
    <xf numFmtId="167" fontId="4" fillId="3" borderId="17" xfId="0" applyNumberFormat="1" applyFont="1" applyFill="1" applyBorder="1" applyProtection="1">
      <protection locked="0"/>
    </xf>
    <xf numFmtId="167" fontId="4" fillId="3" borderId="26" xfId="0" applyNumberFormat="1" applyFont="1" applyFill="1" applyBorder="1" applyProtection="1">
      <protection locked="0"/>
    </xf>
    <xf numFmtId="167" fontId="4" fillId="3" borderId="19" xfId="0" applyNumberFormat="1" applyFont="1" applyFill="1" applyBorder="1" applyProtection="1">
      <protection locked="0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10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9"/>
      <tableStyleElement type="headerRow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424998462200165"/>
          <c:y val="6.6750004887580872E-2"/>
          <c:w val="0.67725002765655518"/>
          <c:h val="0.68524998426437378"/>
        </c:manualLayout>
      </c:layout>
      <c:scatterChart>
        <c:scatterStyle val="lineMarker"/>
        <c:varyColors val="0"/>
        <c:ser>
          <c:idx val="0"/>
          <c:order val="0"/>
          <c:tx>
            <c:v>Normal_Moment_Envelope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'CG Envelopes'!$W$8:$W$12</c:f>
              <c:numCache>
                <c:formatCode>0.00\ \ </c:formatCode>
                <c:ptCount val="5"/>
                <c:pt idx="0">
                  <c:v>59.4</c:v>
                </c:pt>
                <c:pt idx="1">
                  <c:v>74</c:v>
                </c:pt>
                <c:pt idx="2">
                  <c:v>116.5</c:v>
                </c:pt>
                <c:pt idx="3">
                  <c:v>143</c:v>
                </c:pt>
                <c:pt idx="4">
                  <c:v>87</c:v>
                </c:pt>
              </c:numCache>
            </c:numRef>
          </c:xVal>
          <c:yVal>
            <c:numRef>
              <c:f>'CG Envelopes'!$X$8:$X$12</c:f>
              <c:numCache>
                <c:formatCode>#,##0\ \ </c:formatCode>
                <c:ptCount val="5"/>
                <c:pt idx="0">
                  <c:v>1800</c:v>
                </c:pt>
                <c:pt idx="1">
                  <c:v>2250</c:v>
                </c:pt>
                <c:pt idx="2">
                  <c:v>2950</c:v>
                </c:pt>
                <c:pt idx="3">
                  <c:v>2950</c:v>
                </c:pt>
                <c:pt idx="4">
                  <c:v>1800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3A9-433B-99DD-23FA7440175A}"/>
            </c:ext>
          </c:extLst>
        </c:ser>
        <c:ser>
          <c:idx val="1"/>
          <c:order val="1"/>
          <c:tx>
            <c:v>Rea_lMoment</c:v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rgbClr val="00B050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</c:dPt>
          <c:xVal>
            <c:numRef>
              <c:f>('CG Envelopes'!$J$15,'CG Envelopes'!$S$14)</c:f>
              <c:numCache>
                <c:formatCode>0.0\ \ </c:formatCode>
                <c:ptCount val="2"/>
                <c:pt idx="0">
                  <c:v>117</c:v>
                </c:pt>
                <c:pt idx="1">
                  <c:v>113.00619999999999</c:v>
                </c:pt>
              </c:numCache>
            </c:numRef>
          </c:xVal>
          <c:yVal>
            <c:numRef>
              <c:f>('CG Envelopes'!$H$15,'CG Envelopes'!$Q$14)</c:f>
              <c:numCache>
                <c:formatCode>0.0\ \ </c:formatCode>
                <c:ptCount val="2"/>
                <c:pt idx="0">
                  <c:v>2893</c:v>
                </c:pt>
                <c:pt idx="1">
                  <c:v>2809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3A9-433B-99DD-23FA7440175A}"/>
            </c:ext>
          </c:extLst>
        </c:ser>
        <c:ser>
          <c:idx val="2"/>
          <c:order val="2"/>
          <c:tx>
            <c:v>Utility_Moment_Envelope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'CG Envelopes'!$W$18:$W$22</c:f>
              <c:numCache>
                <c:formatCode>0.00\ \ </c:formatCode>
                <c:ptCount val="5"/>
              </c:numCache>
            </c:numRef>
          </c:xVal>
          <c:yVal>
            <c:numRef>
              <c:f>'CG Envelopes'!$X$18:$X$22</c:f>
              <c:numCache>
                <c:formatCode>#,##0\ \ </c:formatCode>
                <c:ptCount val="5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3A9-433B-99DD-23FA744017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407936"/>
        <c:axId val="204409664"/>
      </c:scatterChart>
      <c:valAx>
        <c:axId val="204407936"/>
        <c:scaling>
          <c:orientation val="minMax"/>
          <c:max val="145"/>
          <c:min val="5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defRPr>
                </a:pPr>
                <a:r>
                  <a:rPr lang="en-US"/>
                  <a:t>LOADED AIRCRAFT MOMENT (POUND-INCHES/1000)</a:t>
                </a:r>
              </a:p>
            </c:rich>
          </c:tx>
          <c:layout>
            <c:manualLayout>
              <c:xMode val="edge"/>
              <c:yMode val="edge"/>
              <c:x val="0.20322817750345251"/>
              <c:y val="0.8480952060660010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204409664"/>
        <c:crossesAt val="1800"/>
        <c:crossBetween val="midCat"/>
        <c:minorUnit val="5"/>
      </c:valAx>
      <c:valAx>
        <c:axId val="204409664"/>
        <c:scaling>
          <c:orientation val="minMax"/>
          <c:max val="3000"/>
          <c:min val="1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defRPr>
                </a:pPr>
                <a:r>
                  <a:rPr lang="en-US"/>
                  <a:t>LOADED A/C WEIGHT (POUNDS)</a:t>
                </a:r>
              </a:p>
            </c:rich>
          </c:tx>
          <c:layout>
            <c:manualLayout>
              <c:xMode val="edge"/>
              <c:yMode val="edge"/>
              <c:x val="5.3826081253009347E-2"/>
              <c:y val="7.885577222204963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\ \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n-US"/>
          </a:p>
        </c:txPr>
        <c:crossAx val="204407936"/>
        <c:crossesAt val="55"/>
        <c:crossBetween val="midCat"/>
        <c:majorUnit val="100"/>
        <c:min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FFFFFF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0.75" l="0.7" r="0.7" t="0.75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524998962879181"/>
          <c:y val="6.3500002026557922E-2"/>
          <c:w val="0.7369999885559082"/>
          <c:h val="0.70149999856948853"/>
        </c:manualLayout>
      </c:layout>
      <c:scatterChart>
        <c:scatterStyle val="lineMarker"/>
        <c:varyColors val="0"/>
        <c:ser>
          <c:idx val="0"/>
          <c:order val="0"/>
          <c:tx>
            <c:v>Normal_CG_Envelope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'CG Envelopes'!$Z$8:$Z$12</c:f>
              <c:numCache>
                <c:formatCode>0.00\ \ </c:formatCode>
                <c:ptCount val="5"/>
                <c:pt idx="0">
                  <c:v>33</c:v>
                </c:pt>
                <c:pt idx="1">
                  <c:v>33</c:v>
                </c:pt>
                <c:pt idx="2">
                  <c:v>39.5</c:v>
                </c:pt>
                <c:pt idx="3">
                  <c:v>48.5</c:v>
                </c:pt>
                <c:pt idx="4">
                  <c:v>48.5</c:v>
                </c:pt>
              </c:numCache>
            </c:numRef>
          </c:xVal>
          <c:yVal>
            <c:numRef>
              <c:f>'CG Envelopes'!$AA$8:$AA$12</c:f>
              <c:numCache>
                <c:formatCode>#,##0\ \ </c:formatCode>
                <c:ptCount val="5"/>
                <c:pt idx="0">
                  <c:v>1800</c:v>
                </c:pt>
                <c:pt idx="1">
                  <c:v>2250</c:v>
                </c:pt>
                <c:pt idx="2">
                  <c:v>2950</c:v>
                </c:pt>
                <c:pt idx="3">
                  <c:v>2950</c:v>
                </c:pt>
                <c:pt idx="4">
                  <c:v>1800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CBB-43F9-AB5C-C286B8CC6B52}"/>
            </c:ext>
          </c:extLst>
        </c:ser>
        <c:ser>
          <c:idx val="1"/>
          <c:order val="1"/>
          <c:tx>
            <c:v>Real_CG</c:v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rgbClr val="00B050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</c:dPt>
          <c:xVal>
            <c:numRef>
              <c:f>('CG Envelopes'!$J$16,'CG Envelopes'!$S$15)</c:f>
              <c:numCache>
                <c:formatCode>0.0\ \ </c:formatCode>
                <c:ptCount val="2"/>
                <c:pt idx="0">
                  <c:v>40.442447286553751</c:v>
                </c:pt>
                <c:pt idx="1">
                  <c:v>40.230046279814879</c:v>
                </c:pt>
              </c:numCache>
            </c:numRef>
          </c:xVal>
          <c:yVal>
            <c:numRef>
              <c:f>('CG Envelopes'!$H$15,'CG Envelopes'!$Q$14)</c:f>
              <c:numCache>
                <c:formatCode>0.0\ \ </c:formatCode>
                <c:ptCount val="2"/>
                <c:pt idx="0">
                  <c:v>2893</c:v>
                </c:pt>
                <c:pt idx="1">
                  <c:v>2809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CBB-43F9-AB5C-C286B8CC6B52}"/>
            </c:ext>
          </c:extLst>
        </c:ser>
        <c:ser>
          <c:idx val="2"/>
          <c:order val="2"/>
          <c:tx>
            <c:v>Utility_CG_Envelope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'CG Envelopes'!$Z$18:$Z$22</c:f>
              <c:numCache>
                <c:formatCode>0.00\ \ </c:formatCode>
                <c:ptCount val="5"/>
              </c:numCache>
            </c:numRef>
          </c:xVal>
          <c:yVal>
            <c:numRef>
              <c:f>'CG Envelopes'!$AA$18:$AA$22</c:f>
              <c:numCache>
                <c:formatCode>#,##0\ \ </c:formatCode>
                <c:ptCount val="5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CBB-43F9-AB5C-C286B8CC6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411968"/>
        <c:axId val="204412544"/>
      </c:scatterChart>
      <c:valAx>
        <c:axId val="204411968"/>
        <c:scaling>
          <c:orientation val="minMax"/>
          <c:max val="49"/>
          <c:min val="32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defRPr>
                </a:pPr>
                <a:r>
                  <a:rPr lang="en-US"/>
                  <a:t>CG LOCATION (INCHES AFT OF DATUM)</a:t>
                </a:r>
              </a:p>
            </c:rich>
          </c:tx>
          <c:layout>
            <c:manualLayout>
              <c:xMode val="edge"/>
              <c:yMode val="edge"/>
              <c:x val="0.27990737676707478"/>
              <c:y val="0.85562388470365203"/>
            </c:manualLayout>
          </c:layout>
          <c:overlay val="0"/>
          <c:spPr>
            <a:noFill/>
            <a:ln w="25400">
              <a:noFill/>
            </a:ln>
          </c:spPr>
        </c:title>
        <c:numFmt formatCode="0.00\ \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204412544"/>
        <c:crossesAt val="1800"/>
        <c:crossBetween val="midCat"/>
        <c:majorUnit val="2"/>
        <c:minorUnit val="1"/>
      </c:valAx>
      <c:valAx>
        <c:axId val="204412544"/>
        <c:scaling>
          <c:orientation val="minMax"/>
          <c:max val="3000"/>
          <c:min val="1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defRPr>
                </a:pPr>
                <a:r>
                  <a:rPr lang="en-US"/>
                  <a:t>LOADED A/C WEIGHT (POUNDS)</a:t>
                </a:r>
              </a:p>
            </c:rich>
          </c:tx>
          <c:layout>
            <c:manualLayout>
              <c:xMode val="edge"/>
              <c:yMode val="edge"/>
              <c:x val="1.2723062580321581E-2"/>
              <c:y val="0.1227477302950386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\ \ 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204411968"/>
        <c:crossesAt val="34"/>
        <c:crossBetween val="midCat"/>
        <c:majorUnit val="100"/>
        <c:min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FFFFFF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0.75" l="0.7" r="0.7" t="0.75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Loading Graph</a:t>
            </a:r>
          </a:p>
        </c:rich>
      </c:tx>
      <c:layout>
        <c:manualLayout>
          <c:xMode val="edge"/>
          <c:yMode val="edge"/>
          <c:x val="0.14163534114439005"/>
          <c:y val="0.239794265054927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016082089008114"/>
          <c:y val="0.1705203662612817"/>
          <c:w val="0.83693610676230479"/>
          <c:h val="0.68563397267557014"/>
        </c:manualLayout>
      </c:layout>
      <c:scatterChart>
        <c:scatterStyle val="lineMarker"/>
        <c:varyColors val="0"/>
        <c:ser>
          <c:idx val="0"/>
          <c:order val="0"/>
          <c:tx>
            <c:v>Pilot &amp; Front Passenger</c:v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'Loading Graph'!$R$5:$R$6</c:f>
              <c:numCache>
                <c:formatCode>General</c:formatCode>
                <c:ptCount val="2"/>
                <c:pt idx="0">
                  <c:v>0</c:v>
                </c:pt>
                <c:pt idx="1">
                  <c:v>15</c:v>
                </c:pt>
              </c:numCache>
            </c:numRef>
          </c:xVal>
          <c:yVal>
            <c:numRef>
              <c:f>'Loading Graph'!$S$5:$S$6</c:f>
              <c:numCache>
                <c:formatCode>General</c:formatCode>
                <c:ptCount val="2"/>
                <c:pt idx="0">
                  <c:v>0</c:v>
                </c:pt>
                <c:pt idx="1">
                  <c:v>400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EB5-42AA-8C3E-C9156B50C2F0}"/>
            </c:ext>
          </c:extLst>
        </c:ser>
        <c:ser>
          <c:idx val="4"/>
          <c:order val="1"/>
          <c:tx>
            <c:v>Rear Passengers</c:v>
          </c:tx>
          <c:spPr>
            <a:ln w="3175">
              <a:solidFill>
                <a:srgbClr val="000000"/>
              </a:solidFill>
              <a:prstDash val="lgDashDotDot"/>
            </a:ln>
          </c:spPr>
          <c:marker>
            <c:symbol val="none"/>
          </c:marker>
          <c:xVal>
            <c:numRef>
              <c:f>'Loading Graph'!$R$9:$R$10</c:f>
              <c:numCache>
                <c:formatCode>General</c:formatCode>
                <c:ptCount val="2"/>
                <c:pt idx="0">
                  <c:v>0</c:v>
                </c:pt>
                <c:pt idx="1">
                  <c:v>29.5</c:v>
                </c:pt>
              </c:numCache>
            </c:numRef>
          </c:xVal>
          <c:yVal>
            <c:numRef>
              <c:f>'Loading Graph'!$S$9:$S$10</c:f>
              <c:numCache>
                <c:formatCode>General</c:formatCode>
                <c:ptCount val="2"/>
                <c:pt idx="0">
                  <c:v>0</c:v>
                </c:pt>
                <c:pt idx="1">
                  <c:v>400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EB5-42AA-8C3E-C9156B50C2F0}"/>
            </c:ext>
          </c:extLst>
        </c:ser>
        <c:ser>
          <c:idx val="1"/>
          <c:order val="2"/>
          <c:tx>
            <c:v>Fuel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'Loading Graph'!$R$7:$R$8</c:f>
              <c:numCache>
                <c:formatCode>General</c:formatCode>
                <c:ptCount val="2"/>
                <c:pt idx="0">
                  <c:v>0</c:v>
                </c:pt>
                <c:pt idx="1">
                  <c:v>22.75</c:v>
                </c:pt>
              </c:numCache>
            </c:numRef>
          </c:xVal>
          <c:yVal>
            <c:numRef>
              <c:f>'Loading Graph'!$S$7:$S$8</c:f>
              <c:numCache>
                <c:formatCode>General</c:formatCode>
                <c:ptCount val="2"/>
                <c:pt idx="0">
                  <c:v>0</c:v>
                </c:pt>
                <c:pt idx="1">
                  <c:v>475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EB5-42AA-8C3E-C9156B50C2F0}"/>
            </c:ext>
          </c:extLst>
        </c:ser>
        <c:ser>
          <c:idx val="2"/>
          <c:order val="3"/>
          <c:tx>
            <c:v>Baggage - Area 1 (Max 120#)</c:v>
          </c:tx>
          <c:spPr>
            <a:ln w="3175">
              <a:solidFill>
                <a:srgbClr val="000000"/>
              </a:solidFill>
              <a:prstDash val="lgDash"/>
            </a:ln>
          </c:spPr>
          <c:marker>
            <c:symbol val="none"/>
          </c:marker>
          <c:xVal>
            <c:numRef>
              <c:f>'Loading Graph'!$R$11:$R$12</c:f>
              <c:numCache>
                <c:formatCode>General</c:formatCode>
                <c:ptCount val="2"/>
                <c:pt idx="0">
                  <c:v>0</c:v>
                </c:pt>
                <c:pt idx="1">
                  <c:v>12</c:v>
                </c:pt>
              </c:numCache>
            </c:numRef>
          </c:xVal>
          <c:yVal>
            <c:numRef>
              <c:f>'Loading Graph'!$S$11:$S$12</c:f>
              <c:numCache>
                <c:formatCode>General</c:formatCode>
                <c:ptCount val="2"/>
                <c:pt idx="0">
                  <c:v>0</c:v>
                </c:pt>
                <c:pt idx="1">
                  <c:v>120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EB5-42AA-8C3E-C9156B50C2F0}"/>
            </c:ext>
          </c:extLst>
        </c:ser>
        <c:ser>
          <c:idx val="3"/>
          <c:order val="4"/>
          <c:tx>
            <c:v>Baggage - Area 2 (Max 80#)</c:v>
          </c:tx>
          <c:spPr>
            <a:ln w="3175">
              <a:solidFill>
                <a:srgbClr val="000000"/>
              </a:solidFill>
              <a:prstDash val="lgDashDot"/>
            </a:ln>
          </c:spPr>
          <c:marker>
            <c:symbol val="none"/>
          </c:marker>
          <c:xVal>
            <c:numRef>
              <c:f>'Loading Graph'!$R$13:$R$14</c:f>
              <c:numCache>
                <c:formatCode>General</c:formatCode>
                <c:ptCount val="2"/>
                <c:pt idx="0">
                  <c:v>0</c:v>
                </c:pt>
                <c:pt idx="1">
                  <c:v>9.25</c:v>
                </c:pt>
              </c:numCache>
            </c:numRef>
          </c:xVal>
          <c:yVal>
            <c:numRef>
              <c:f>'Loading Graph'!$S$13:$S$14</c:f>
              <c:numCache>
                <c:formatCode>General</c:formatCode>
                <c:ptCount val="2"/>
                <c:pt idx="0">
                  <c:v>0</c:v>
                </c:pt>
                <c:pt idx="1">
                  <c:v>80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EB5-42AA-8C3E-C9156B50C2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2149632"/>
        <c:axId val="242150784"/>
      </c:scatterChart>
      <c:valAx>
        <c:axId val="242149632"/>
        <c:scaling>
          <c:orientation val="minMax"/>
          <c:max val="3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Load Moment/1,000 (Pound-Inches)</a:t>
                </a:r>
              </a:p>
            </c:rich>
          </c:tx>
          <c:layout>
            <c:manualLayout>
              <c:xMode val="edge"/>
              <c:yMode val="edge"/>
              <c:x val="0.2818400222772206"/>
              <c:y val="0.918323222469610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2150784"/>
        <c:crosses val="autoZero"/>
        <c:crossBetween val="midCat"/>
        <c:majorUnit val="5"/>
        <c:minorUnit val="0.5"/>
      </c:valAx>
      <c:valAx>
        <c:axId val="242150784"/>
        <c:scaling>
          <c:orientation val="minMax"/>
          <c:max val="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Load Weight (Pounds)</a:t>
                </a:r>
              </a:p>
            </c:rich>
          </c:tx>
          <c:layout>
            <c:manualLayout>
              <c:xMode val="edge"/>
              <c:yMode val="edge"/>
              <c:x val="7.1533000577974773E-3"/>
              <c:y val="0.321501940555124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214963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9515456480875006"/>
          <c:y val="0.67675270359946171"/>
          <c:w val="0.33191312268180295"/>
          <c:h val="9.59177060219709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FFFFFF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0.75" l="0.7" r="0.7" t="0.75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182673</xdr:colOff>
      <xdr:row>19</xdr:row>
      <xdr:rowOff>44103</xdr:rowOff>
    </xdr:from>
    <xdr:to>
      <xdr:col>11</xdr:col>
      <xdr:colOff>176148</xdr:colOff>
      <xdr:row>38</xdr:row>
      <xdr:rowOff>58716</xdr:rowOff>
    </xdr:to>
    <xdr:graphicFrame macro="">
      <xdr:nvGraphicFramePr>
        <xdr:cNvPr id="65610" name="Chart 74">
          <a:extLst>
            <a:ext uri="{FF2B5EF4-FFF2-40B4-BE49-F238E27FC236}">
              <a16:creationId xmlns:a16="http://schemas.microsoft.com/office/drawing/2014/main" xmlns="" id="{CA2893B8-2DA8-43C2-B3BC-884CE4EB8D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474163</xdr:colOff>
      <xdr:row>19</xdr:row>
      <xdr:rowOff>25442</xdr:rowOff>
    </xdr:from>
    <xdr:to>
      <xdr:col>20</xdr:col>
      <xdr:colOff>169625</xdr:colOff>
      <xdr:row>38</xdr:row>
      <xdr:rowOff>78287</xdr:rowOff>
    </xdr:to>
    <xdr:graphicFrame macro="">
      <xdr:nvGraphicFramePr>
        <xdr:cNvPr id="65611" name="Chart 75">
          <a:extLst>
            <a:ext uri="{FF2B5EF4-FFF2-40B4-BE49-F238E27FC236}">
              <a16:creationId xmlns:a16="http://schemas.microsoft.com/office/drawing/2014/main" xmlns="" id="{FAA1A07E-B92F-4F2E-B61C-C6C4D1E1AD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</xdr:row>
      <xdr:rowOff>85725</xdr:rowOff>
    </xdr:from>
    <xdr:to>
      <xdr:col>15</xdr:col>
      <xdr:colOff>276225</xdr:colOff>
      <xdr:row>40</xdr:row>
      <xdr:rowOff>38100</xdr:rowOff>
    </xdr:to>
    <xdr:graphicFrame macro="">
      <xdr:nvGraphicFramePr>
        <xdr:cNvPr id="65612" name="Chart 76">
          <a:extLst>
            <a:ext uri="{FF2B5EF4-FFF2-40B4-BE49-F238E27FC236}">
              <a16:creationId xmlns:a16="http://schemas.microsoft.com/office/drawing/2014/main" xmlns="" id="{4CF9BF54-0996-40EB-A07C-27FE7E8FEE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e5mn.nl/downloads/Manual%20Forms/C150M_Manu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 Envelopes"/>
      <sheetName val="Loading Graph"/>
    </sheetNames>
    <sheetDataSet>
      <sheetData sheetId="0">
        <row r="14">
          <cell r="O14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W119"/>
  <sheetViews>
    <sheetView showGridLines="0" showZeros="0" tabSelected="1" showOutlineSymbols="0" zoomScale="146" zoomScaleNormal="146" workbookViewId="0">
      <selection activeCell="C1" sqref="C1"/>
    </sheetView>
  </sheetViews>
  <sheetFormatPr defaultRowHeight="12.75" x14ac:dyDescent="0.2"/>
  <cols>
    <col min="1" max="1" width="10.85546875" bestFit="1" customWidth="1"/>
    <col min="2" max="2" width="7" bestFit="1" customWidth="1"/>
    <col min="3" max="3" width="8.5703125" style="10" bestFit="1" customWidth="1"/>
    <col min="4" max="4" width="5.28515625" style="10" customWidth="1"/>
    <col min="5" max="5" width="7.7109375" style="11" customWidth="1"/>
    <col min="6" max="6" width="7.7109375" style="12" customWidth="1"/>
    <col min="7" max="8" width="7.7109375" style="13" customWidth="1"/>
    <col min="9" max="9" width="7.7109375" style="14" customWidth="1"/>
    <col min="10" max="10" width="7.7109375" style="13" customWidth="1"/>
    <col min="11" max="11" width="7.7109375" style="15" customWidth="1"/>
    <col min="12" max="15" width="7.7109375" style="16" customWidth="1"/>
    <col min="16" max="18" width="7.7109375" style="12" customWidth="1"/>
    <col min="19" max="20" width="7.7109375" style="17" customWidth="1"/>
    <col min="21" max="21" width="6.28515625" style="16" customWidth="1"/>
    <col min="22" max="22" width="7.42578125" style="18" customWidth="1"/>
    <col min="23" max="23" width="7.42578125" style="9" customWidth="1"/>
    <col min="24" max="24" width="6.42578125" style="9" bestFit="1" customWidth="1"/>
    <col min="25" max="25" width="1.85546875" style="9" customWidth="1"/>
    <col min="26" max="26" width="7.85546875" style="9" customWidth="1"/>
    <col min="27" max="27" width="8.28515625" style="9" customWidth="1"/>
    <col min="28" max="32" width="9.140625" style="9"/>
    <col min="33" max="257" width="9.140625" style="10"/>
  </cols>
  <sheetData>
    <row r="1" spans="1:27" s="24" customFormat="1" ht="13.5" thickTop="1" thickBot="1" x14ac:dyDescent="0.25">
      <c r="E1" s="75" t="s">
        <v>0</v>
      </c>
      <c r="F1" s="76"/>
      <c r="G1" s="77"/>
      <c r="H1" s="77"/>
      <c r="I1" s="78"/>
      <c r="J1" s="77"/>
      <c r="K1" s="77"/>
      <c r="L1" s="78"/>
      <c r="M1" s="78"/>
      <c r="N1" s="77"/>
      <c r="O1" s="78"/>
      <c r="P1" s="76"/>
      <c r="Q1" s="79"/>
      <c r="R1" s="19"/>
      <c r="S1" s="19"/>
      <c r="T1" s="19"/>
      <c r="U1" s="20"/>
      <c r="V1" s="21"/>
      <c r="W1" s="22"/>
      <c r="X1" s="23"/>
    </row>
    <row r="2" spans="1:27" s="24" customFormat="1" thickBot="1" x14ac:dyDescent="0.25">
      <c r="E2" s="25"/>
      <c r="F2" s="26" t="s">
        <v>1</v>
      </c>
      <c r="G2" s="27"/>
      <c r="H2" s="28"/>
      <c r="I2" s="29" t="s">
        <v>2</v>
      </c>
      <c r="J2" s="74" t="s">
        <v>32</v>
      </c>
      <c r="K2" s="28"/>
      <c r="L2" s="29" t="s">
        <v>3</v>
      </c>
      <c r="M2" s="29"/>
      <c r="N2" s="30"/>
      <c r="O2" s="31"/>
      <c r="P2" s="32" t="s">
        <v>4</v>
      </c>
      <c r="Q2" s="33"/>
      <c r="R2" s="23"/>
      <c r="S2" s="19"/>
      <c r="T2" s="19"/>
      <c r="U2" s="19"/>
      <c r="V2" s="19"/>
      <c r="W2" s="21"/>
      <c r="X2" s="22"/>
      <c r="Y2" s="23"/>
    </row>
    <row r="3" spans="1:27" s="24" customFormat="1" thickTop="1" x14ac:dyDescent="0.2">
      <c r="E3" s="34"/>
      <c r="F3" s="19"/>
      <c r="G3" s="19"/>
      <c r="J3" s="35"/>
      <c r="L3" s="35"/>
      <c r="M3" s="35"/>
      <c r="N3" s="19"/>
      <c r="O3" s="36"/>
      <c r="P3" s="19"/>
      <c r="Q3" s="19"/>
      <c r="R3" s="37"/>
      <c r="S3" s="38"/>
      <c r="T3" s="19"/>
      <c r="V3" s="23"/>
    </row>
    <row r="4" spans="1:27" s="24" customFormat="1" thickBot="1" x14ac:dyDescent="0.25">
      <c r="B4" s="142"/>
      <c r="E4" s="34"/>
      <c r="F4" s="19"/>
      <c r="G4" s="19"/>
      <c r="J4" s="35"/>
      <c r="L4" s="35"/>
      <c r="M4" s="35"/>
      <c r="N4" s="19"/>
      <c r="O4" s="36"/>
      <c r="P4" s="19"/>
      <c r="Q4" s="19"/>
      <c r="R4" s="37"/>
      <c r="S4" s="38"/>
      <c r="T4" s="19"/>
      <c r="V4" s="23"/>
    </row>
    <row r="5" spans="1:27" s="24" customFormat="1" ht="13.5" thickTop="1" thickBot="1" x14ac:dyDescent="0.25">
      <c r="E5" s="75" t="s">
        <v>5</v>
      </c>
      <c r="F5" s="76"/>
      <c r="G5" s="77"/>
      <c r="H5" s="77"/>
      <c r="I5" s="78"/>
      <c r="J5" s="79"/>
      <c r="K5" s="37"/>
      <c r="L5" s="39"/>
      <c r="M5" s="39"/>
      <c r="N5" s="75" t="s">
        <v>6</v>
      </c>
      <c r="O5" s="76"/>
      <c r="P5" s="77"/>
      <c r="Q5" s="77"/>
      <c r="R5" s="78"/>
      <c r="S5" s="79"/>
      <c r="T5" s="39"/>
      <c r="U5" s="39"/>
      <c r="W5" s="75" t="s">
        <v>33</v>
      </c>
      <c r="X5" s="76"/>
      <c r="Y5" s="77"/>
      <c r="Z5" s="77"/>
      <c r="AA5" s="79"/>
    </row>
    <row r="6" spans="1:27" s="24" customFormat="1" thickBot="1" x14ac:dyDescent="0.25">
      <c r="C6" s="111"/>
      <c r="D6" s="111"/>
      <c r="E6" s="40" t="s">
        <v>7</v>
      </c>
      <c r="F6" s="41"/>
      <c r="G6" s="42"/>
      <c r="H6" s="43" t="s">
        <v>8</v>
      </c>
      <c r="I6" s="44" t="s">
        <v>9</v>
      </c>
      <c r="J6" s="45" t="s">
        <v>10</v>
      </c>
      <c r="K6" s="37"/>
      <c r="L6" s="39"/>
      <c r="M6" s="39"/>
      <c r="N6" s="40" t="s">
        <v>7</v>
      </c>
      <c r="O6" s="41"/>
      <c r="P6" s="42"/>
      <c r="Q6" s="43" t="s">
        <v>8</v>
      </c>
      <c r="R6" s="44" t="s">
        <v>9</v>
      </c>
      <c r="S6" s="45" t="s">
        <v>10</v>
      </c>
      <c r="T6" s="39"/>
      <c r="U6" s="39"/>
      <c r="W6" s="40" t="s">
        <v>11</v>
      </c>
      <c r="X6" s="46"/>
      <c r="Y6" s="91"/>
      <c r="Z6" s="47" t="s">
        <v>12</v>
      </c>
      <c r="AA6" s="48"/>
    </row>
    <row r="7" spans="1:27" s="24" customFormat="1" ht="13.5" thickTop="1" thickBot="1" x14ac:dyDescent="0.25">
      <c r="A7" s="108" t="s">
        <v>28</v>
      </c>
      <c r="B7" s="141">
        <v>79</v>
      </c>
      <c r="C7" s="123" t="s">
        <v>42</v>
      </c>
      <c r="D7" s="105"/>
      <c r="E7" s="49"/>
      <c r="F7" s="19"/>
      <c r="H7" s="50" t="s">
        <v>13</v>
      </c>
      <c r="I7" s="51" t="s">
        <v>14</v>
      </c>
      <c r="J7" s="67" t="s">
        <v>15</v>
      </c>
      <c r="K7" s="37"/>
      <c r="L7" s="39"/>
      <c r="M7" s="39"/>
      <c r="N7" s="49"/>
      <c r="O7" s="19"/>
      <c r="Q7" s="50" t="s">
        <v>13</v>
      </c>
      <c r="R7" s="51" t="s">
        <v>14</v>
      </c>
      <c r="S7" s="67" t="s">
        <v>15</v>
      </c>
      <c r="T7" s="39"/>
      <c r="U7" s="39"/>
      <c r="W7" s="52" t="s">
        <v>10</v>
      </c>
      <c r="X7" s="53" t="s">
        <v>8</v>
      </c>
      <c r="Y7" s="92"/>
      <c r="Z7" s="54" t="s">
        <v>16</v>
      </c>
      <c r="AA7" s="55" t="s">
        <v>8</v>
      </c>
    </row>
    <row r="8" spans="1:27" s="24" customFormat="1" ht="13.5" thickTop="1" thickBot="1" x14ac:dyDescent="0.25">
      <c r="A8" s="109" t="s">
        <v>41</v>
      </c>
      <c r="B8" s="143">
        <v>12</v>
      </c>
      <c r="C8" s="124" t="s">
        <v>43</v>
      </c>
      <c r="D8" s="105"/>
      <c r="E8" s="56"/>
      <c r="F8" s="57"/>
      <c r="G8" s="68" t="s">
        <v>17</v>
      </c>
      <c r="H8" s="148">
        <v>1761</v>
      </c>
      <c r="I8" s="101">
        <f>(Empty_Moment*1000)/Empty_Weight</f>
        <v>36.513344690516753</v>
      </c>
      <c r="J8" s="149">
        <v>64.3</v>
      </c>
      <c r="K8" s="37"/>
      <c r="L8" s="39"/>
      <c r="M8" s="39"/>
      <c r="N8" s="56"/>
      <c r="O8" s="57"/>
      <c r="P8" s="68" t="s">
        <v>17</v>
      </c>
      <c r="Q8" s="80">
        <f>Empty_Weight</f>
        <v>1761</v>
      </c>
      <c r="R8" s="81">
        <f>Empty_Arm</f>
        <v>36.513344690516753</v>
      </c>
      <c r="S8" s="82">
        <f>Empty_Moment</f>
        <v>64.3</v>
      </c>
      <c r="T8" s="39"/>
      <c r="U8" s="39"/>
      <c r="W8" s="89">
        <v>59.4</v>
      </c>
      <c r="X8" s="90">
        <v>1800</v>
      </c>
      <c r="Y8" s="93"/>
      <c r="Z8" s="94">
        <f>ROUND((W8*1000)/X8,1)</f>
        <v>33</v>
      </c>
      <c r="AA8" s="95">
        <v>1800</v>
      </c>
    </row>
    <row r="9" spans="1:27" s="24" customFormat="1" thickTop="1" x14ac:dyDescent="0.2">
      <c r="A9" s="109" t="s">
        <v>35</v>
      </c>
      <c r="B9" s="143">
        <v>190</v>
      </c>
      <c r="C9" s="124" t="s">
        <v>44</v>
      </c>
      <c r="D9" s="112"/>
      <c r="E9" s="58"/>
      <c r="F9" s="59"/>
      <c r="G9" s="69" t="s">
        <v>18</v>
      </c>
      <c r="H9" s="106">
        <f>Pilot+CoPilot</f>
        <v>520</v>
      </c>
      <c r="I9" s="101">
        <f>ROUND((Front_Passenger_Moment*1000)/Front_Passengers,1)</f>
        <v>37.5</v>
      </c>
      <c r="J9" s="103">
        <f>ROUND(FORECAST(Front_Passengers,'Loading Graph'!R5:R6,'Loading Graph'!S5:S6),1)</f>
        <v>19.5</v>
      </c>
      <c r="K9" s="37"/>
      <c r="L9" s="39"/>
      <c r="M9" s="39"/>
      <c r="N9" s="58"/>
      <c r="O9" s="59"/>
      <c r="P9" s="69" t="s">
        <v>18</v>
      </c>
      <c r="Q9" s="86">
        <f>Front_Passengers</f>
        <v>520</v>
      </c>
      <c r="R9" s="83">
        <f>Front_Passenger_Arm</f>
        <v>37.5</v>
      </c>
      <c r="S9" s="82">
        <f>Front_Passenger_Moment</f>
        <v>19.5</v>
      </c>
      <c r="T9" s="39"/>
      <c r="U9" s="39"/>
      <c r="W9" s="89">
        <v>74</v>
      </c>
      <c r="X9" s="90">
        <v>2250</v>
      </c>
      <c r="Y9" s="93"/>
      <c r="Z9" s="94">
        <f>ROUND((W9*1000)/X9,0)</f>
        <v>33</v>
      </c>
      <c r="AA9" s="95">
        <v>2250</v>
      </c>
    </row>
    <row r="10" spans="1:27" s="24" customFormat="1" ht="12" x14ac:dyDescent="0.2">
      <c r="A10" s="109" t="s">
        <v>36</v>
      </c>
      <c r="B10" s="143">
        <v>330</v>
      </c>
      <c r="C10" s="124" t="s">
        <v>44</v>
      </c>
      <c r="D10" s="112"/>
      <c r="E10" s="60"/>
      <c r="F10" s="59"/>
      <c r="G10" s="70" t="s">
        <v>19</v>
      </c>
      <c r="H10" s="106">
        <f>Rear_Pass_1+Rear_Pass_2</f>
        <v>150</v>
      </c>
      <c r="I10" s="102">
        <f>IF(Rear_Passengers&gt;0,ROUND((Rear_Passenger_Moment*1000)/Rear_Passengers,1),"")</f>
        <v>74</v>
      </c>
      <c r="J10" s="103">
        <f>ROUND(FORECAST(Rear_Passengers,'Loading Graph'!$R$9:$R$10,'Loading Graph'!$S$9:$S$10),1)</f>
        <v>11.1</v>
      </c>
      <c r="K10" s="37"/>
      <c r="L10" s="39"/>
      <c r="M10" s="39"/>
      <c r="N10" s="60"/>
      <c r="O10" s="59"/>
      <c r="P10" s="70" t="s">
        <v>19</v>
      </c>
      <c r="Q10" s="86">
        <f>Rear_Passengers</f>
        <v>150</v>
      </c>
      <c r="R10" s="83">
        <f>Rear_Passenger_Arm</f>
        <v>74</v>
      </c>
      <c r="S10" s="82">
        <f>Rear_Passenger_Moment</f>
        <v>11.1</v>
      </c>
      <c r="T10" s="39"/>
      <c r="U10" s="39"/>
      <c r="W10" s="89">
        <v>116.5</v>
      </c>
      <c r="X10" s="90">
        <v>2950</v>
      </c>
      <c r="Y10" s="93"/>
      <c r="Z10" s="94">
        <v>39.5</v>
      </c>
      <c r="AA10" s="95">
        <v>2950</v>
      </c>
    </row>
    <row r="11" spans="1:27" s="24" customFormat="1" ht="12" x14ac:dyDescent="0.2">
      <c r="A11" s="109" t="s">
        <v>37</v>
      </c>
      <c r="B11" s="143">
        <v>150</v>
      </c>
      <c r="C11" s="124" t="s">
        <v>44</v>
      </c>
      <c r="D11" s="112"/>
      <c r="E11" s="52"/>
      <c r="F11" s="59"/>
      <c r="G11" s="70" t="s">
        <v>20</v>
      </c>
      <c r="H11" s="106">
        <f>Bag_1</f>
        <v>0</v>
      </c>
      <c r="I11" s="100" t="str">
        <f>IF(Baggage_1&gt;0,ROUND((Baggage_1_Moment*1000)/Baggage_1,1),"")</f>
        <v/>
      </c>
      <c r="J11" s="103">
        <f>ROUND(FORECAST(Baggage_1,'Loading Graph'!$R$11:$R$12,'Loading Graph'!$S$11:$S$12),1)</f>
        <v>0</v>
      </c>
      <c r="K11" s="37"/>
      <c r="L11" s="39"/>
      <c r="M11" s="39"/>
      <c r="N11" s="52"/>
      <c r="O11" s="59"/>
      <c r="P11" s="70" t="s">
        <v>20</v>
      </c>
      <c r="Q11" s="86">
        <f>Baggage_1</f>
        <v>0</v>
      </c>
      <c r="R11" s="83" t="str">
        <f>Baggage_1_Arm</f>
        <v/>
      </c>
      <c r="S11" s="82">
        <f>Baggage_1_Moment</f>
        <v>0</v>
      </c>
      <c r="T11" s="39"/>
      <c r="U11" s="39"/>
      <c r="W11" s="89">
        <v>143</v>
      </c>
      <c r="X11" s="90">
        <v>2950</v>
      </c>
      <c r="Y11" s="93"/>
      <c r="Z11" s="94">
        <v>48.5</v>
      </c>
      <c r="AA11" s="95">
        <v>2950</v>
      </c>
    </row>
    <row r="12" spans="1:27" s="24" customFormat="1" thickBot="1" x14ac:dyDescent="0.25">
      <c r="A12" s="109" t="s">
        <v>38</v>
      </c>
      <c r="B12" s="143"/>
      <c r="C12" s="124" t="s">
        <v>44</v>
      </c>
      <c r="D12" s="112"/>
      <c r="E12" s="52"/>
      <c r="F12" s="59"/>
      <c r="G12" s="70" t="s">
        <v>21</v>
      </c>
      <c r="H12" s="106">
        <f>Bag_2</f>
        <v>0</v>
      </c>
      <c r="I12" s="100" t="str">
        <f>IF(Baggage_2&gt;0,ROUND((Baggage_2_Moment*1000)/Baggage_2,1),"")</f>
        <v/>
      </c>
      <c r="J12" s="103">
        <f>ROUND(FORECAST(Baggage_2,'Loading Graph'!$R13:$R14,'Loading Graph'!$S13:$S14),1)</f>
        <v>0</v>
      </c>
      <c r="K12" s="37"/>
      <c r="L12" s="39"/>
      <c r="M12" s="39"/>
      <c r="N12" s="52"/>
      <c r="O12" s="59"/>
      <c r="P12" s="70" t="s">
        <v>21</v>
      </c>
      <c r="Q12" s="86">
        <f>Baggage_2</f>
        <v>0</v>
      </c>
      <c r="R12" s="83" t="str">
        <f>Baggage_2_Arm</f>
        <v/>
      </c>
      <c r="S12" s="82">
        <f>Baggage_2_Moment</f>
        <v>0</v>
      </c>
      <c r="T12" s="39"/>
      <c r="U12" s="39"/>
      <c r="W12" s="89">
        <v>87</v>
      </c>
      <c r="X12" s="90">
        <v>1800</v>
      </c>
      <c r="Y12" s="93"/>
      <c r="Z12" s="96">
        <v>48.5</v>
      </c>
      <c r="AA12" s="97">
        <v>1800</v>
      </c>
    </row>
    <row r="13" spans="1:27" s="24" customFormat="1" ht="13.5" thickTop="1" thickBot="1" x14ac:dyDescent="0.25">
      <c r="A13" s="109" t="s">
        <v>39</v>
      </c>
      <c r="B13" s="143"/>
      <c r="C13" s="124" t="s">
        <v>45</v>
      </c>
      <c r="D13" s="112" t="str">
        <f>IF(Bag_1&gt;Bag_1_Max,"Over","OK")</f>
        <v>OK</v>
      </c>
      <c r="E13" s="60"/>
      <c r="F13" s="104" t="s">
        <v>22</v>
      </c>
      <c r="G13" s="107">
        <f>Fuel</f>
        <v>79</v>
      </c>
      <c r="H13" s="86">
        <f>Departure_Fuel*6</f>
        <v>474</v>
      </c>
      <c r="I13" s="100">
        <f>IF(Departure_Fuel_Weight="","",ROUND((J13*1000)/Departure_Fuel_Weight,1))</f>
        <v>47.9</v>
      </c>
      <c r="J13" s="133">
        <f>ROUND(FORECAST(Departure_Fuel_Weight,'Loading Graph'!$R$7:$R$8,'Loading Graph'!$S$7:$S$8),2)</f>
        <v>22.7</v>
      </c>
      <c r="K13" s="37"/>
      <c r="L13" s="37"/>
      <c r="M13" s="37"/>
      <c r="N13" s="60"/>
      <c r="O13" s="62" t="s">
        <v>22</v>
      </c>
      <c r="P13" s="107">
        <f>Departure_Fuel-Grnd_Ops_Fuel-(Flight_Time*Fuel_burn)</f>
        <v>63</v>
      </c>
      <c r="Q13" s="86">
        <f>Arrival_Fuel*6</f>
        <v>378</v>
      </c>
      <c r="R13" s="83">
        <f>Fuel_Arm</f>
        <v>47.9</v>
      </c>
      <c r="S13" s="82">
        <f>Arrival_Fuel_Weight*Fuel_Arm/1000</f>
        <v>18.106200000000001</v>
      </c>
      <c r="T13" s="39"/>
      <c r="U13" s="39"/>
      <c r="V13" s="105" t="s">
        <v>54</v>
      </c>
      <c r="W13" s="61"/>
      <c r="X13" s="126">
        <f>(X10-X9)/(Z10-Z9)</f>
        <v>107.69230769230769</v>
      </c>
      <c r="Y13" s="61"/>
      <c r="Z13" s="37"/>
      <c r="AA13" s="37"/>
    </row>
    <row r="14" spans="1:27" s="24" customFormat="1" thickBot="1" x14ac:dyDescent="0.25">
      <c r="A14" s="110" t="s">
        <v>40</v>
      </c>
      <c r="B14" s="144"/>
      <c r="C14" s="125" t="s">
        <v>46</v>
      </c>
      <c r="D14" s="112" t="str">
        <f>IF(Bag_2&gt;Bag_2_Max,"Over","OK")</f>
        <v>OK</v>
      </c>
      <c r="E14" s="60"/>
      <c r="F14" s="62" t="s">
        <v>25</v>
      </c>
      <c r="G14" s="147">
        <v>2</v>
      </c>
      <c r="H14" s="86">
        <f>-Grnd_Ops_Fuel*6</f>
        <v>-12</v>
      </c>
      <c r="I14" s="100">
        <f>IF(Grnd_Ops_Fuel_Weight="","",ROUND((J14*1000)/Grnd_Ops_Fuel_Weight,1))</f>
        <v>50</v>
      </c>
      <c r="J14" s="103">
        <f>ROUND(FORECAST(Grnd_Ops_Fuel_Weight,'Loading Graph'!$R$7:$R$8,'Loading Graph'!$S$7:$S$8),1)</f>
        <v>-0.6</v>
      </c>
      <c r="K14" s="35"/>
      <c r="L14" s="19"/>
      <c r="M14" s="19"/>
      <c r="N14" s="63"/>
      <c r="O14" s="64"/>
      <c r="P14" s="71" t="s">
        <v>23</v>
      </c>
      <c r="Q14" s="87">
        <f>SUM(Q8:Q13)</f>
        <v>2809</v>
      </c>
      <c r="R14" s="84">
        <f>IF(Total_Arrival_Weight,Total_Arrival_Moment*1000/Total_Arrival_Weight,"")</f>
        <v>40.230046279814879</v>
      </c>
      <c r="S14" s="85">
        <f>SUM(S8:S13)</f>
        <v>113.00619999999999</v>
      </c>
      <c r="V14" s="105" t="s">
        <v>55</v>
      </c>
      <c r="W14" s="23"/>
      <c r="X14" s="37">
        <f>X10-X13*Z10</f>
        <v>-1303.8461538461543</v>
      </c>
      <c r="Y14" s="37"/>
      <c r="Z14" s="37"/>
      <c r="AA14" s="37"/>
    </row>
    <row r="15" spans="1:27" s="24" customFormat="1" ht="13.5" thickTop="1" thickBot="1" x14ac:dyDescent="0.25">
      <c r="E15" s="63"/>
      <c r="F15" s="64"/>
      <c r="G15" s="71" t="s">
        <v>23</v>
      </c>
      <c r="H15" s="87">
        <f>SUM(H8:H14)</f>
        <v>2893</v>
      </c>
      <c r="I15" s="84">
        <f>IF(Total_Departure_Weight,Total_Departure_Moment*1000/Total_Departure_Weight,"")</f>
        <v>40.442447286553751</v>
      </c>
      <c r="J15" s="85">
        <f>SUM(J8:J14)</f>
        <v>117</v>
      </c>
      <c r="K15" s="35"/>
      <c r="L15" s="37"/>
      <c r="M15" s="37"/>
      <c r="N15" s="65"/>
      <c r="O15" s="66"/>
      <c r="P15" s="72"/>
      <c r="Q15" s="72"/>
      <c r="R15" s="73" t="s">
        <v>24</v>
      </c>
      <c r="S15" s="88">
        <f>Total_Arrival_Arm</f>
        <v>40.230046279814879</v>
      </c>
      <c r="W15" s="75"/>
      <c r="X15" s="76"/>
      <c r="Y15" s="77"/>
      <c r="Z15" s="77"/>
      <c r="AA15" s="79"/>
    </row>
    <row r="16" spans="1:27" s="24" customFormat="1" ht="13.5" thickTop="1" thickBot="1" x14ac:dyDescent="0.25">
      <c r="A16" s="113" t="s">
        <v>50</v>
      </c>
      <c r="B16" s="24">
        <f>Gross_Weight-Total_Departure_Weight</f>
        <v>57</v>
      </c>
      <c r="C16" s="113" t="s">
        <v>44</v>
      </c>
      <c r="E16" s="65"/>
      <c r="F16" s="66"/>
      <c r="G16" s="72"/>
      <c r="H16" s="72"/>
      <c r="I16" s="73" t="s">
        <v>24</v>
      </c>
      <c r="J16" s="88">
        <f>Total_Departure_Arm</f>
        <v>40.442447286553751</v>
      </c>
      <c r="K16" s="8"/>
      <c r="L16" s="1"/>
      <c r="M16" s="1"/>
      <c r="N16" s="10"/>
      <c r="O16" s="10"/>
      <c r="P16" s="10"/>
      <c r="Q16" s="10"/>
      <c r="R16" s="10"/>
      <c r="S16" s="2"/>
      <c r="W16" s="40"/>
      <c r="X16" s="46"/>
      <c r="Y16" s="91"/>
      <c r="Z16" s="47"/>
      <c r="AA16" s="48"/>
    </row>
    <row r="17" spans="1:27" s="6" customFormat="1" thickTop="1" x14ac:dyDescent="0.2">
      <c r="A17" s="137" t="s">
        <v>56</v>
      </c>
      <c r="B17" s="145">
        <v>1</v>
      </c>
      <c r="C17" s="138" t="s">
        <v>59</v>
      </c>
      <c r="J17" s="10"/>
      <c r="K17" s="8"/>
      <c r="L17" s="1"/>
      <c r="M17" s="1"/>
      <c r="N17" s="9"/>
      <c r="O17" s="9"/>
      <c r="P17" s="9"/>
      <c r="Q17" s="9"/>
      <c r="R17" s="9"/>
      <c r="S17" s="2"/>
      <c r="T17" s="2"/>
      <c r="U17" s="1"/>
      <c r="W17" s="52"/>
      <c r="X17" s="53"/>
      <c r="Y17" s="92"/>
      <c r="Z17" s="54"/>
      <c r="AA17" s="55"/>
    </row>
    <row r="18" spans="1:27" s="6" customFormat="1" thickBot="1" x14ac:dyDescent="0.25">
      <c r="A18" s="139" t="s">
        <v>57</v>
      </c>
      <c r="B18" s="146">
        <v>14</v>
      </c>
      <c r="C18" s="140" t="s">
        <v>58</v>
      </c>
      <c r="D18" s="10"/>
      <c r="J18" s="9"/>
      <c r="K18" s="8"/>
      <c r="L18" s="1"/>
      <c r="M18" s="1"/>
      <c r="N18" s="10"/>
      <c r="O18" s="10"/>
      <c r="P18" s="10"/>
      <c r="Q18" s="10"/>
      <c r="R18" s="10"/>
      <c r="S18" s="10"/>
      <c r="T18" s="2"/>
      <c r="U18" s="1"/>
      <c r="W18" s="89"/>
      <c r="X18" s="90"/>
      <c r="Y18" s="93"/>
      <c r="Z18" s="94"/>
      <c r="AA18" s="95"/>
    </row>
    <row r="19" spans="1:27" s="6" customFormat="1" ht="12" x14ac:dyDescent="0.2">
      <c r="A19" s="134" t="s">
        <v>53</v>
      </c>
      <c r="B19" s="135">
        <f>Total_Departure_Weight</f>
        <v>2893</v>
      </c>
      <c r="C19" s="136" t="str">
        <f>IF(B19&lt;=Gross_Weight,"GO","NO GO")</f>
        <v>GO</v>
      </c>
      <c r="D19" s="9"/>
      <c r="E19" s="10"/>
      <c r="F19" s="10"/>
      <c r="G19" s="10"/>
      <c r="H19" s="10"/>
      <c r="I19" s="10"/>
      <c r="J19" s="10"/>
      <c r="K19" s="8"/>
      <c r="L19" s="1"/>
      <c r="M19" s="1"/>
      <c r="N19" s="10"/>
      <c r="O19" s="10"/>
      <c r="P19" s="10"/>
      <c r="Q19" s="10"/>
      <c r="R19" s="10"/>
      <c r="S19" s="10"/>
      <c r="T19" s="10"/>
      <c r="U19" s="10"/>
      <c r="W19" s="89"/>
      <c r="X19" s="90"/>
      <c r="Y19" s="93"/>
      <c r="Z19" s="94"/>
      <c r="AA19" s="95"/>
    </row>
    <row r="20" spans="1:27" s="6" customFormat="1" ht="12" x14ac:dyDescent="0.2">
      <c r="A20" s="127" t="s">
        <v>51</v>
      </c>
      <c r="B20" s="128" t="str">
        <f>IF((Total_Departure_Weight&lt;MAX($X$8:$X$12))*AND(Total_Departure_Arm&lt;MAX($Z$8:$Z$12))*AND(Total_Departure_Weight&gt;MIN($X$8:$X$12))*AND(Total_Departure_Arm&gt;MIN($Z$8:$Z$12))*AND(Total_Departure_Weight&lt;($X$13*Total_Departure_Arm+$X$14)),"OK","BAD CG")</f>
        <v>OK</v>
      </c>
      <c r="C20" s="129" t="str">
        <f>IF(B20="OK","GO", "NO GO")</f>
        <v>GO</v>
      </c>
      <c r="E20" s="10"/>
      <c r="F20" s="10"/>
      <c r="G20" s="10"/>
      <c r="H20" s="10"/>
      <c r="I20" s="10"/>
      <c r="J20" s="10"/>
      <c r="K20" s="8"/>
      <c r="L20" s="1"/>
      <c r="M20" s="1"/>
      <c r="N20" s="10"/>
      <c r="O20" s="10"/>
      <c r="P20" s="10"/>
      <c r="Q20" s="10"/>
      <c r="R20" s="10"/>
      <c r="S20" s="10"/>
      <c r="T20" s="10"/>
      <c r="U20" s="10"/>
      <c r="W20" s="89"/>
      <c r="X20" s="90"/>
      <c r="Y20" s="93"/>
      <c r="Z20" s="94"/>
      <c r="AA20" s="95"/>
    </row>
    <row r="21" spans="1:27" s="6" customFormat="1" thickBot="1" x14ac:dyDescent="0.25">
      <c r="A21" s="130" t="s">
        <v>52</v>
      </c>
      <c r="B21" s="131" t="str">
        <f>IF((Total_Arrival_Weight&lt;MAX($X$8:$X$12))*AND(Total_Arrival_Arm&lt;MAX($Z$8:$Z$12))*AND(Total_Arrival_Weight&gt;MIN($X$8:$X$12))*AND(Total_Arrival_Arm&gt;MIN($Z$8:$Z$12))*AND(Total_Arrival_Weight&lt;($X$13*Total_Arrival_Arm+$X$14)),"OK","BAD CG")</f>
        <v>OK</v>
      </c>
      <c r="C21" s="132" t="str">
        <f>IF(B21="OK","GO", "NO GO")</f>
        <v>GO</v>
      </c>
      <c r="E21" s="10"/>
      <c r="F21" s="10"/>
      <c r="G21" s="10"/>
      <c r="H21" s="10"/>
      <c r="I21" s="10"/>
      <c r="J21" s="10"/>
      <c r="K21" s="8"/>
      <c r="L21" s="1"/>
      <c r="M21" s="1"/>
      <c r="N21" s="10"/>
      <c r="O21" s="10"/>
      <c r="P21" s="10"/>
      <c r="Q21" s="10"/>
      <c r="R21" s="10"/>
      <c r="S21" s="10"/>
      <c r="T21" s="10"/>
      <c r="U21" s="10"/>
      <c r="W21" s="89"/>
      <c r="X21" s="90"/>
      <c r="Y21" s="93"/>
      <c r="Z21" s="94"/>
      <c r="AA21" s="95"/>
    </row>
    <row r="22" spans="1:27" s="6" customFormat="1" ht="13.5" thickTop="1" thickBot="1" x14ac:dyDescent="0.25"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W22" s="98"/>
      <c r="X22" s="90"/>
      <c r="Y22" s="93"/>
      <c r="Z22" s="96"/>
      <c r="AA22" s="97"/>
    </row>
    <row r="23" spans="1:27" s="6" customFormat="1" ht="13.5" thickTop="1" thickBot="1" x14ac:dyDescent="0.25">
      <c r="A23" s="122" t="s">
        <v>49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X23" s="61"/>
      <c r="Y23" s="61"/>
      <c r="Z23" s="61"/>
    </row>
    <row r="24" spans="1:27" s="6" customFormat="1" ht="12" thickTop="1" x14ac:dyDescent="0.2">
      <c r="A24" s="114" t="s">
        <v>28</v>
      </c>
      <c r="B24" s="115">
        <v>79</v>
      </c>
      <c r="C24" s="116" t="s">
        <v>42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1:27" s="6" customFormat="1" ht="11.25" x14ac:dyDescent="0.2">
      <c r="A25" s="117" t="s">
        <v>39</v>
      </c>
      <c r="B25" s="6">
        <v>120</v>
      </c>
      <c r="C25" s="118" t="s">
        <v>44</v>
      </c>
      <c r="E25" s="10"/>
      <c r="F25" s="10"/>
      <c r="G25" s="10"/>
      <c r="H25" s="10"/>
      <c r="I25" s="10"/>
      <c r="J25" s="10"/>
      <c r="K25" s="10"/>
      <c r="L25" s="10"/>
      <c r="M25" s="10"/>
      <c r="N25" s="1"/>
      <c r="O25" s="1"/>
      <c r="P25" s="1"/>
      <c r="Q25" s="1"/>
      <c r="R25" s="1"/>
      <c r="S25" s="10"/>
      <c r="T25" s="10"/>
      <c r="U25" s="10"/>
      <c r="V25" s="5"/>
    </row>
    <row r="26" spans="1:27" s="6" customFormat="1" ht="11.25" x14ac:dyDescent="0.2">
      <c r="A26" s="117" t="s">
        <v>40</v>
      </c>
      <c r="B26" s="6">
        <v>80</v>
      </c>
      <c r="C26" s="118" t="s">
        <v>44</v>
      </c>
      <c r="E26" s="10"/>
      <c r="F26" s="10"/>
      <c r="G26" s="10"/>
      <c r="H26" s="10"/>
      <c r="I26" s="10"/>
      <c r="J26" s="10"/>
      <c r="K26" s="10"/>
      <c r="L26" s="10"/>
      <c r="M26" s="10"/>
      <c r="N26" s="1"/>
      <c r="O26" s="1"/>
      <c r="P26" s="1"/>
      <c r="Q26" s="1"/>
      <c r="R26" s="1"/>
      <c r="T26" s="10"/>
      <c r="U26" s="10"/>
      <c r="V26" s="5"/>
    </row>
    <row r="27" spans="1:27" s="6" customFormat="1" ht="11.25" x14ac:dyDescent="0.2">
      <c r="A27" s="117" t="s">
        <v>34</v>
      </c>
      <c r="B27" s="6">
        <v>2950</v>
      </c>
      <c r="C27" s="118" t="s">
        <v>44</v>
      </c>
      <c r="E27" s="10"/>
      <c r="F27" s="10"/>
      <c r="G27" s="10"/>
      <c r="H27" s="10"/>
      <c r="I27" s="10"/>
      <c r="J27" s="10"/>
      <c r="K27" s="10"/>
      <c r="L27" s="10"/>
      <c r="M27" s="10"/>
      <c r="N27" s="1"/>
      <c r="O27" s="1"/>
      <c r="P27" s="1"/>
      <c r="Q27" s="1"/>
      <c r="R27" s="1"/>
      <c r="V27" s="5"/>
    </row>
    <row r="28" spans="1:27" s="6" customFormat="1" ht="12" thickBot="1" x14ac:dyDescent="0.25">
      <c r="A28" s="119" t="s">
        <v>47</v>
      </c>
      <c r="B28" s="120">
        <v>48.5</v>
      </c>
      <c r="C28" s="121" t="s">
        <v>48</v>
      </c>
      <c r="E28" s="10"/>
      <c r="F28" s="10"/>
      <c r="G28" s="10"/>
      <c r="H28" s="10"/>
      <c r="I28" s="10"/>
      <c r="J28" s="10"/>
      <c r="K28" s="8"/>
      <c r="L28" s="1"/>
      <c r="M28" s="1"/>
      <c r="N28" s="1"/>
      <c r="O28" s="1"/>
      <c r="P28" s="1"/>
      <c r="Q28" s="1"/>
      <c r="R28" s="1"/>
      <c r="V28" s="5"/>
    </row>
    <row r="29" spans="1:27" s="6" customFormat="1" ht="12" thickTop="1" x14ac:dyDescent="0.2">
      <c r="E29" s="7"/>
      <c r="F29" s="1"/>
      <c r="I29" s="8"/>
      <c r="K29" s="8"/>
      <c r="L29" s="1"/>
      <c r="M29" s="1"/>
      <c r="N29" s="1"/>
      <c r="O29" s="1"/>
      <c r="P29" s="1"/>
      <c r="Q29" s="1"/>
      <c r="R29" s="1"/>
      <c r="T29" s="10"/>
      <c r="U29" s="10"/>
      <c r="V29" s="5"/>
    </row>
    <row r="30" spans="1:27" s="6" customFormat="1" ht="11.25" x14ac:dyDescent="0.2">
      <c r="E30" s="7"/>
      <c r="F30" s="1"/>
      <c r="I30" s="8"/>
      <c r="K30" s="8"/>
      <c r="L30" s="1"/>
      <c r="M30" s="1"/>
      <c r="N30" s="1"/>
      <c r="O30" s="1"/>
      <c r="P30" s="1"/>
      <c r="Q30" s="1"/>
      <c r="R30" s="1"/>
      <c r="T30" s="10"/>
      <c r="U30" s="10"/>
      <c r="V30" s="5"/>
    </row>
    <row r="31" spans="1:27" s="6" customFormat="1" ht="11.25" x14ac:dyDescent="0.2">
      <c r="E31" s="7"/>
      <c r="F31" s="1"/>
      <c r="I31" s="8"/>
      <c r="K31" s="8"/>
      <c r="L31" s="1"/>
      <c r="M31" s="1"/>
      <c r="N31" s="1"/>
      <c r="O31" s="1"/>
      <c r="P31" s="1"/>
      <c r="Q31" s="1"/>
      <c r="R31" s="1"/>
      <c r="T31" s="10"/>
      <c r="U31" s="10"/>
      <c r="V31" s="5"/>
    </row>
    <row r="32" spans="1:27" s="6" customFormat="1" ht="11.25" x14ac:dyDescent="0.2">
      <c r="E32" s="7"/>
      <c r="F32" s="1"/>
      <c r="I32" s="8"/>
      <c r="K32" s="1"/>
      <c r="L32" s="1"/>
      <c r="M32" s="1"/>
      <c r="N32" s="1"/>
      <c r="O32" s="2"/>
      <c r="P32" s="2"/>
      <c r="Q32" s="1"/>
      <c r="R32" s="1"/>
      <c r="T32" s="10"/>
      <c r="U32" s="10"/>
      <c r="V32" s="5"/>
    </row>
    <row r="33" spans="5:22" s="6" customFormat="1" ht="11.25" x14ac:dyDescent="0.2">
      <c r="G33" s="8"/>
      <c r="J33" s="1"/>
      <c r="K33" s="1"/>
      <c r="L33" s="1"/>
      <c r="M33" s="1"/>
      <c r="N33" s="1"/>
      <c r="O33" s="2"/>
      <c r="P33" s="2"/>
      <c r="Q33" s="1"/>
      <c r="R33" s="1"/>
      <c r="S33" s="3"/>
      <c r="T33" s="10"/>
      <c r="U33" s="10"/>
      <c r="V33" s="5"/>
    </row>
    <row r="34" spans="5:22" s="6" customFormat="1" ht="11.25" x14ac:dyDescent="0.2">
      <c r="G34" s="8"/>
      <c r="J34" s="1"/>
      <c r="K34" s="1"/>
      <c r="L34" s="1"/>
      <c r="M34" s="1"/>
      <c r="N34" s="1"/>
      <c r="O34" s="2"/>
      <c r="P34" s="2"/>
      <c r="Q34" s="1"/>
      <c r="R34" s="1"/>
      <c r="S34" s="3"/>
      <c r="T34" s="4"/>
      <c r="U34" s="5"/>
    </row>
    <row r="35" spans="5:22" s="6" customFormat="1" ht="11.25" x14ac:dyDescent="0.2">
      <c r="G35" s="8"/>
      <c r="J35" s="1"/>
      <c r="K35" s="1"/>
      <c r="L35" s="1"/>
      <c r="M35" s="1"/>
      <c r="N35" s="2"/>
      <c r="O35" s="2"/>
      <c r="P35" s="1"/>
      <c r="Q35" s="1"/>
      <c r="R35" s="3"/>
      <c r="S35" s="4"/>
      <c r="T35" s="4"/>
      <c r="U35" s="5"/>
    </row>
    <row r="36" spans="5:22" s="6" customFormat="1" ht="11.25" x14ac:dyDescent="0.2">
      <c r="G36" s="1"/>
      <c r="J36" s="1"/>
      <c r="K36" s="1"/>
      <c r="L36" s="1"/>
      <c r="M36" s="1"/>
      <c r="N36" s="1"/>
      <c r="O36" s="2"/>
      <c r="P36" s="2"/>
      <c r="Q36" s="1"/>
      <c r="R36" s="1"/>
      <c r="S36" s="3"/>
      <c r="T36" s="5"/>
    </row>
    <row r="37" spans="5:22" s="6" customFormat="1" ht="11.25" x14ac:dyDescent="0.2">
      <c r="E37" s="7"/>
      <c r="F37" s="1"/>
      <c r="G37" s="1"/>
      <c r="J37" s="1"/>
      <c r="K37" s="1"/>
      <c r="L37" s="1"/>
      <c r="M37" s="1"/>
      <c r="N37" s="1"/>
      <c r="O37" s="2"/>
      <c r="P37" s="2"/>
      <c r="Q37" s="1"/>
      <c r="R37" s="1"/>
      <c r="S37" s="3"/>
      <c r="T37" s="4"/>
      <c r="U37" s="5"/>
    </row>
    <row r="38" spans="5:22" s="6" customFormat="1" ht="11.25" x14ac:dyDescent="0.2">
      <c r="E38" s="7"/>
      <c r="F38" s="1"/>
      <c r="G38" s="1"/>
      <c r="H38" s="1"/>
      <c r="I38" s="1"/>
      <c r="J38" s="1"/>
      <c r="K38" s="1"/>
      <c r="L38" s="1"/>
      <c r="M38" s="1"/>
      <c r="N38" s="1"/>
      <c r="O38" s="2"/>
      <c r="P38" s="2"/>
      <c r="Q38" s="1"/>
      <c r="R38" s="1"/>
      <c r="S38" s="3"/>
      <c r="T38" s="4"/>
      <c r="U38" s="5"/>
    </row>
    <row r="39" spans="5:22" s="6" customFormat="1" ht="11.25" x14ac:dyDescent="0.2">
      <c r="E39" s="7"/>
      <c r="F39" s="1"/>
      <c r="G39" s="8"/>
      <c r="H39" s="1"/>
      <c r="I39" s="1"/>
      <c r="J39" s="1"/>
      <c r="K39" s="1"/>
      <c r="L39" s="1"/>
      <c r="M39" s="1"/>
      <c r="N39" s="1"/>
      <c r="O39" s="1"/>
      <c r="P39" s="2"/>
      <c r="Q39" s="2"/>
      <c r="R39" s="1"/>
      <c r="S39" s="1"/>
      <c r="T39" s="4"/>
      <c r="U39" s="5"/>
    </row>
    <row r="40" spans="5:22" s="6" customFormat="1" ht="11.25" x14ac:dyDescent="0.2">
      <c r="E40" s="7"/>
      <c r="F40" s="1"/>
      <c r="H40" s="8"/>
      <c r="I40" s="1"/>
      <c r="J40" s="1"/>
      <c r="K40" s="8"/>
      <c r="L40" s="1"/>
      <c r="M40" s="1"/>
      <c r="N40" s="1"/>
      <c r="O40" s="1"/>
      <c r="P40" s="1"/>
      <c r="Q40" s="1"/>
      <c r="R40" s="1"/>
      <c r="S40" s="2"/>
      <c r="T40" s="3"/>
      <c r="U40" s="4"/>
    </row>
    <row r="41" spans="5:22" s="6" customFormat="1" ht="11.25" x14ac:dyDescent="0.2">
      <c r="E41" s="7"/>
      <c r="F41" s="1"/>
      <c r="I41" s="8"/>
      <c r="K41" s="8"/>
      <c r="L41" s="1"/>
      <c r="M41" s="1"/>
      <c r="N41" s="1"/>
      <c r="O41" s="1"/>
      <c r="P41" s="1"/>
      <c r="Q41" s="1"/>
      <c r="R41" s="1"/>
      <c r="S41" s="2"/>
      <c r="T41" s="2"/>
      <c r="U41" s="1"/>
    </row>
    <row r="42" spans="5:22" s="6" customFormat="1" ht="11.25" x14ac:dyDescent="0.2">
      <c r="E42" s="7"/>
      <c r="F42" s="1"/>
      <c r="I42" s="8"/>
      <c r="K42" s="8"/>
      <c r="L42" s="1"/>
      <c r="M42" s="1"/>
      <c r="N42" s="1"/>
      <c r="O42" s="1"/>
      <c r="P42" s="1"/>
      <c r="Q42" s="1"/>
      <c r="R42" s="1"/>
      <c r="S42" s="2"/>
      <c r="T42" s="2"/>
      <c r="U42" s="1"/>
      <c r="V42" s="5"/>
    </row>
    <row r="43" spans="5:22" s="6" customFormat="1" ht="11.25" x14ac:dyDescent="0.2">
      <c r="E43" s="7"/>
      <c r="F43" s="1"/>
      <c r="I43" s="8"/>
      <c r="K43" s="8"/>
      <c r="L43" s="1"/>
      <c r="M43" s="1"/>
      <c r="N43" s="1"/>
      <c r="O43" s="1"/>
      <c r="P43" s="1"/>
      <c r="Q43" s="1"/>
      <c r="R43" s="1"/>
      <c r="S43" s="2"/>
      <c r="T43" s="2"/>
      <c r="U43" s="1"/>
      <c r="V43" s="5"/>
    </row>
    <row r="44" spans="5:22" s="6" customFormat="1" ht="11.25" x14ac:dyDescent="0.2">
      <c r="E44" s="7"/>
      <c r="F44" s="1"/>
      <c r="I44" s="8"/>
      <c r="K44" s="8"/>
      <c r="L44" s="1"/>
      <c r="M44" s="1"/>
      <c r="N44" s="1"/>
      <c r="O44" s="1"/>
      <c r="P44" s="1"/>
      <c r="Q44" s="1"/>
      <c r="R44" s="1"/>
      <c r="S44" s="2"/>
      <c r="T44" s="2"/>
      <c r="U44" s="1"/>
      <c r="V44" s="5"/>
    </row>
    <row r="45" spans="5:22" s="6" customFormat="1" ht="11.25" x14ac:dyDescent="0.2">
      <c r="E45" s="7"/>
      <c r="F45" s="1"/>
      <c r="I45" s="8"/>
      <c r="K45" s="8"/>
      <c r="L45" s="1"/>
      <c r="M45" s="1"/>
      <c r="N45" s="1"/>
      <c r="O45" s="1"/>
      <c r="P45" s="1"/>
      <c r="Q45" s="1"/>
      <c r="R45" s="1"/>
      <c r="S45" s="2"/>
      <c r="T45" s="2"/>
      <c r="U45" s="1"/>
      <c r="V45" s="5"/>
    </row>
    <row r="46" spans="5:22" s="6" customFormat="1" ht="11.25" x14ac:dyDescent="0.2">
      <c r="E46" s="7"/>
      <c r="F46" s="1"/>
      <c r="I46" s="8"/>
      <c r="K46" s="8"/>
      <c r="L46" s="1"/>
      <c r="M46" s="1"/>
      <c r="N46" s="1"/>
      <c r="O46" s="1"/>
      <c r="P46" s="1"/>
      <c r="Q46" s="1"/>
      <c r="R46" s="1"/>
      <c r="S46" s="2"/>
      <c r="T46" s="2"/>
      <c r="U46" s="1"/>
      <c r="V46" s="5"/>
    </row>
    <row r="47" spans="5:22" s="6" customFormat="1" ht="11.25" x14ac:dyDescent="0.2">
      <c r="E47" s="7"/>
      <c r="F47" s="1"/>
      <c r="I47" s="8"/>
      <c r="K47" s="8"/>
      <c r="L47" s="1"/>
      <c r="M47" s="1"/>
      <c r="N47" s="1"/>
      <c r="O47" s="1"/>
      <c r="P47" s="1"/>
      <c r="Q47" s="1"/>
      <c r="R47" s="1"/>
      <c r="S47" s="2"/>
      <c r="T47" s="2"/>
      <c r="U47" s="1"/>
      <c r="V47" s="5"/>
    </row>
    <row r="48" spans="5:22" s="6" customFormat="1" ht="11.25" x14ac:dyDescent="0.2">
      <c r="E48" s="7"/>
      <c r="F48" s="1"/>
      <c r="I48" s="8"/>
      <c r="K48" s="8"/>
      <c r="L48" s="1"/>
      <c r="M48" s="1"/>
      <c r="N48" s="1"/>
      <c r="O48" s="1"/>
      <c r="P48" s="1"/>
      <c r="Q48" s="1"/>
      <c r="R48" s="1"/>
      <c r="S48" s="2"/>
      <c r="T48" s="2"/>
      <c r="U48" s="1"/>
      <c r="V48" s="5"/>
    </row>
    <row r="49" spans="5:22" s="6" customFormat="1" ht="11.25" x14ac:dyDescent="0.2">
      <c r="E49" s="7"/>
      <c r="F49" s="1"/>
      <c r="I49" s="8"/>
      <c r="K49" s="8"/>
      <c r="L49" s="1"/>
      <c r="M49" s="1"/>
      <c r="N49" s="1"/>
      <c r="O49" s="1"/>
      <c r="P49" s="1"/>
      <c r="Q49" s="1"/>
      <c r="R49" s="1"/>
      <c r="S49" s="2"/>
      <c r="T49" s="2"/>
      <c r="U49" s="1"/>
      <c r="V49" s="5"/>
    </row>
    <row r="50" spans="5:22" s="6" customFormat="1" ht="11.25" x14ac:dyDescent="0.2">
      <c r="E50" s="7"/>
      <c r="F50" s="1"/>
      <c r="I50" s="8"/>
      <c r="K50" s="8"/>
      <c r="L50" s="1"/>
      <c r="M50" s="1"/>
      <c r="N50" s="1"/>
      <c r="O50" s="1"/>
      <c r="P50" s="1"/>
      <c r="Q50" s="1"/>
      <c r="R50" s="1"/>
      <c r="S50" s="2"/>
      <c r="T50" s="2"/>
      <c r="U50" s="1"/>
      <c r="V50" s="5"/>
    </row>
    <row r="51" spans="5:22" s="6" customFormat="1" ht="11.25" x14ac:dyDescent="0.2">
      <c r="E51" s="7"/>
      <c r="F51" s="1"/>
      <c r="I51" s="8"/>
      <c r="K51" s="8"/>
      <c r="L51" s="1"/>
      <c r="M51" s="1"/>
      <c r="N51" s="1"/>
      <c r="O51" s="1"/>
      <c r="P51" s="1"/>
      <c r="Q51" s="1"/>
      <c r="R51" s="1"/>
      <c r="S51" s="2"/>
      <c r="T51" s="2"/>
      <c r="U51" s="1"/>
      <c r="V51" s="5"/>
    </row>
    <row r="52" spans="5:22" s="6" customFormat="1" ht="11.25" x14ac:dyDescent="0.2">
      <c r="E52" s="7"/>
      <c r="F52" s="1"/>
      <c r="I52" s="8"/>
      <c r="K52" s="8"/>
      <c r="L52" s="1"/>
      <c r="M52" s="1"/>
      <c r="N52" s="1"/>
      <c r="O52" s="1"/>
      <c r="P52" s="1"/>
      <c r="Q52" s="1"/>
      <c r="R52" s="1"/>
      <c r="S52" s="2"/>
      <c r="T52" s="2"/>
      <c r="U52" s="1"/>
      <c r="V52" s="5"/>
    </row>
    <row r="53" spans="5:22" s="6" customFormat="1" ht="11.25" x14ac:dyDescent="0.2">
      <c r="E53" s="7"/>
      <c r="F53" s="1"/>
      <c r="I53" s="8"/>
      <c r="K53" s="8"/>
      <c r="L53" s="1"/>
      <c r="M53" s="1"/>
      <c r="N53" s="1"/>
      <c r="O53" s="1"/>
      <c r="P53" s="1"/>
      <c r="Q53" s="1"/>
      <c r="R53" s="1"/>
      <c r="S53" s="2"/>
      <c r="T53" s="2"/>
      <c r="U53" s="1"/>
      <c r="V53" s="5"/>
    </row>
    <row r="54" spans="5:22" s="6" customFormat="1" ht="11.25" x14ac:dyDescent="0.2">
      <c r="E54" s="7"/>
      <c r="F54" s="1"/>
      <c r="I54" s="8"/>
      <c r="K54" s="8"/>
      <c r="L54" s="1"/>
      <c r="M54" s="1"/>
      <c r="N54" s="1"/>
      <c r="O54" s="1"/>
      <c r="P54" s="1"/>
      <c r="Q54" s="1"/>
      <c r="R54" s="1"/>
      <c r="S54" s="2"/>
      <c r="T54" s="2"/>
      <c r="U54" s="1"/>
      <c r="V54" s="5"/>
    </row>
    <row r="55" spans="5:22" s="6" customFormat="1" ht="11.25" x14ac:dyDescent="0.2">
      <c r="E55" s="7"/>
      <c r="F55" s="1"/>
      <c r="I55" s="8"/>
      <c r="K55" s="8"/>
      <c r="L55" s="1"/>
      <c r="M55" s="1"/>
      <c r="N55" s="1"/>
      <c r="O55" s="1"/>
      <c r="P55" s="1"/>
      <c r="Q55" s="1"/>
      <c r="R55" s="1"/>
      <c r="S55" s="2"/>
      <c r="T55" s="2"/>
      <c r="U55" s="1"/>
      <c r="V55" s="5"/>
    </row>
    <row r="56" spans="5:22" s="6" customFormat="1" ht="11.25" x14ac:dyDescent="0.2">
      <c r="E56" s="7"/>
      <c r="F56" s="1"/>
      <c r="I56" s="8"/>
      <c r="K56" s="8"/>
      <c r="L56" s="1"/>
      <c r="M56" s="1"/>
      <c r="N56" s="1"/>
      <c r="O56" s="1"/>
      <c r="P56" s="1"/>
      <c r="Q56" s="1"/>
      <c r="R56" s="1"/>
      <c r="S56" s="2"/>
      <c r="T56" s="2"/>
      <c r="U56" s="1"/>
      <c r="V56" s="5"/>
    </row>
    <row r="57" spans="5:22" s="6" customFormat="1" ht="11.25" x14ac:dyDescent="0.2">
      <c r="E57" s="7"/>
      <c r="F57" s="1"/>
      <c r="I57" s="8"/>
      <c r="K57" s="8"/>
      <c r="L57" s="1"/>
      <c r="M57" s="1"/>
      <c r="N57" s="1"/>
      <c r="O57" s="1"/>
      <c r="P57" s="1"/>
      <c r="Q57" s="1"/>
      <c r="R57" s="1"/>
      <c r="S57" s="2"/>
      <c r="T57" s="2"/>
      <c r="U57" s="1"/>
      <c r="V57" s="5"/>
    </row>
    <row r="58" spans="5:22" s="6" customFormat="1" ht="11.25" x14ac:dyDescent="0.2">
      <c r="E58" s="7"/>
      <c r="F58" s="1"/>
      <c r="I58" s="8"/>
      <c r="K58" s="8"/>
      <c r="L58" s="1"/>
      <c r="M58" s="1"/>
      <c r="N58" s="1"/>
      <c r="O58" s="1"/>
      <c r="P58" s="1"/>
      <c r="Q58" s="1"/>
      <c r="R58" s="1"/>
      <c r="S58" s="2"/>
      <c r="T58" s="2"/>
      <c r="U58" s="1"/>
      <c r="V58" s="5"/>
    </row>
    <row r="59" spans="5:22" s="6" customFormat="1" ht="11.25" x14ac:dyDescent="0.2">
      <c r="E59" s="7"/>
      <c r="F59" s="1"/>
      <c r="I59" s="8"/>
      <c r="K59" s="8"/>
      <c r="L59" s="1"/>
      <c r="M59" s="1"/>
      <c r="N59" s="1"/>
      <c r="O59" s="1"/>
      <c r="P59" s="1"/>
      <c r="Q59" s="1"/>
      <c r="R59" s="1"/>
      <c r="S59" s="2"/>
      <c r="T59" s="2"/>
      <c r="U59" s="1"/>
      <c r="V59" s="5"/>
    </row>
    <row r="60" spans="5:22" s="6" customFormat="1" ht="11.25" x14ac:dyDescent="0.2">
      <c r="E60" s="7"/>
      <c r="F60" s="1"/>
      <c r="I60" s="8"/>
      <c r="K60" s="8"/>
      <c r="L60" s="1"/>
      <c r="M60" s="1"/>
      <c r="N60" s="1"/>
      <c r="O60" s="1"/>
      <c r="P60" s="1"/>
      <c r="Q60" s="1"/>
      <c r="R60" s="1"/>
      <c r="S60" s="2"/>
      <c r="T60" s="2"/>
      <c r="U60" s="1"/>
      <c r="V60" s="5"/>
    </row>
    <row r="61" spans="5:22" s="6" customFormat="1" ht="11.25" x14ac:dyDescent="0.2">
      <c r="E61" s="7"/>
      <c r="F61" s="1"/>
      <c r="I61" s="8"/>
      <c r="K61" s="8"/>
      <c r="L61" s="1"/>
      <c r="M61" s="1"/>
      <c r="N61" s="1"/>
      <c r="O61" s="1"/>
      <c r="P61" s="1"/>
      <c r="Q61" s="1"/>
      <c r="R61" s="1"/>
      <c r="S61" s="2"/>
      <c r="T61" s="2"/>
      <c r="U61" s="1"/>
      <c r="V61" s="5"/>
    </row>
    <row r="62" spans="5:22" s="6" customFormat="1" ht="11.25" x14ac:dyDescent="0.2">
      <c r="E62" s="7"/>
      <c r="F62" s="1"/>
      <c r="I62" s="8"/>
      <c r="K62" s="8"/>
      <c r="L62" s="1"/>
      <c r="M62" s="1"/>
      <c r="N62" s="1"/>
      <c r="O62" s="1"/>
      <c r="P62" s="1"/>
      <c r="Q62" s="1"/>
      <c r="R62" s="1"/>
      <c r="S62" s="2"/>
      <c r="T62" s="2"/>
      <c r="U62" s="1"/>
      <c r="V62" s="5"/>
    </row>
    <row r="63" spans="5:22" s="6" customFormat="1" ht="11.25" x14ac:dyDescent="0.2">
      <c r="E63" s="7"/>
      <c r="F63" s="1"/>
      <c r="I63" s="8"/>
      <c r="K63" s="8"/>
      <c r="L63" s="1"/>
      <c r="M63" s="1"/>
      <c r="N63" s="1"/>
      <c r="O63" s="1"/>
      <c r="P63" s="1"/>
      <c r="Q63" s="1"/>
      <c r="R63" s="1"/>
      <c r="S63" s="2"/>
      <c r="T63" s="2"/>
      <c r="U63" s="1"/>
      <c r="V63" s="5"/>
    </row>
    <row r="64" spans="5:22" s="6" customFormat="1" ht="11.25" x14ac:dyDescent="0.2">
      <c r="E64" s="7"/>
      <c r="F64" s="1"/>
      <c r="I64" s="8"/>
      <c r="K64" s="8"/>
      <c r="L64" s="1"/>
      <c r="M64" s="1"/>
      <c r="N64" s="1"/>
      <c r="O64" s="1"/>
      <c r="P64" s="1"/>
      <c r="Q64" s="1"/>
      <c r="R64" s="1"/>
      <c r="S64" s="2"/>
      <c r="T64" s="2"/>
      <c r="U64" s="1"/>
      <c r="V64" s="5"/>
    </row>
    <row r="65" spans="5:22" s="6" customFormat="1" ht="11.25" x14ac:dyDescent="0.2">
      <c r="E65" s="7"/>
      <c r="F65" s="1"/>
      <c r="I65" s="8"/>
      <c r="K65" s="8"/>
      <c r="L65" s="1"/>
      <c r="M65" s="1"/>
      <c r="N65" s="1"/>
      <c r="O65" s="1"/>
      <c r="P65" s="1"/>
      <c r="Q65" s="1"/>
      <c r="R65" s="1"/>
      <c r="S65" s="2"/>
      <c r="T65" s="2"/>
      <c r="U65" s="1"/>
      <c r="V65" s="5"/>
    </row>
    <row r="66" spans="5:22" s="6" customFormat="1" ht="11.25" x14ac:dyDescent="0.2">
      <c r="E66" s="7"/>
      <c r="F66" s="1"/>
      <c r="I66" s="8"/>
      <c r="K66" s="8"/>
      <c r="L66" s="1"/>
      <c r="M66" s="1"/>
      <c r="N66" s="1"/>
      <c r="O66" s="1"/>
      <c r="P66" s="1"/>
      <c r="Q66" s="1"/>
      <c r="R66" s="1"/>
      <c r="S66" s="2"/>
      <c r="T66" s="2"/>
      <c r="U66" s="1"/>
      <c r="V66" s="5"/>
    </row>
    <row r="67" spans="5:22" s="6" customFormat="1" ht="11.25" x14ac:dyDescent="0.2">
      <c r="E67" s="7"/>
      <c r="F67" s="1"/>
      <c r="I67" s="8"/>
      <c r="K67" s="8"/>
      <c r="L67" s="1"/>
      <c r="M67" s="1"/>
      <c r="N67" s="1"/>
      <c r="O67" s="1"/>
      <c r="P67" s="1"/>
      <c r="Q67" s="1"/>
      <c r="R67" s="1"/>
      <c r="S67" s="2"/>
      <c r="T67" s="2"/>
      <c r="U67" s="1"/>
      <c r="V67" s="5"/>
    </row>
    <row r="68" spans="5:22" s="6" customFormat="1" ht="11.25" x14ac:dyDescent="0.2">
      <c r="E68" s="7"/>
      <c r="F68" s="1"/>
      <c r="I68" s="8"/>
      <c r="K68" s="8"/>
      <c r="L68" s="1"/>
      <c r="M68" s="1"/>
      <c r="N68" s="1"/>
      <c r="O68" s="1"/>
      <c r="P68" s="1"/>
      <c r="Q68" s="1"/>
      <c r="R68" s="1"/>
      <c r="S68" s="2"/>
      <c r="T68" s="2"/>
      <c r="U68" s="1"/>
      <c r="V68" s="5"/>
    </row>
    <row r="69" spans="5:22" s="6" customFormat="1" ht="11.25" x14ac:dyDescent="0.2">
      <c r="E69" s="7"/>
      <c r="F69" s="1"/>
      <c r="I69" s="8"/>
      <c r="K69" s="8"/>
      <c r="L69" s="1"/>
      <c r="M69" s="1"/>
      <c r="N69" s="1"/>
      <c r="O69" s="1"/>
      <c r="P69" s="1"/>
      <c r="Q69" s="1"/>
      <c r="R69" s="1"/>
      <c r="S69" s="2"/>
      <c r="T69" s="2"/>
      <c r="U69" s="1"/>
      <c r="V69" s="5"/>
    </row>
    <row r="70" spans="5:22" s="6" customFormat="1" ht="11.25" x14ac:dyDescent="0.2">
      <c r="E70" s="7"/>
      <c r="F70" s="1"/>
      <c r="I70" s="8"/>
      <c r="K70" s="8"/>
      <c r="L70" s="1"/>
      <c r="M70" s="1"/>
      <c r="N70" s="1"/>
      <c r="O70" s="1"/>
      <c r="P70" s="1"/>
      <c r="Q70" s="1"/>
      <c r="R70" s="1"/>
      <c r="S70" s="2"/>
      <c r="T70" s="2"/>
      <c r="U70" s="1"/>
      <c r="V70" s="5"/>
    </row>
    <row r="71" spans="5:22" s="6" customFormat="1" ht="11.25" x14ac:dyDescent="0.2">
      <c r="E71" s="7"/>
      <c r="F71" s="1"/>
      <c r="I71" s="8"/>
      <c r="K71" s="8"/>
      <c r="L71" s="1"/>
      <c r="M71" s="1"/>
      <c r="N71" s="1"/>
      <c r="O71" s="1"/>
      <c r="P71" s="1"/>
      <c r="Q71" s="1"/>
      <c r="R71" s="1"/>
      <c r="S71" s="2"/>
      <c r="T71" s="2"/>
      <c r="U71" s="1"/>
      <c r="V71" s="5"/>
    </row>
    <row r="72" spans="5:22" s="6" customFormat="1" ht="11.25" x14ac:dyDescent="0.2">
      <c r="E72" s="7"/>
      <c r="F72" s="1"/>
      <c r="I72" s="8"/>
      <c r="K72" s="8"/>
      <c r="L72" s="1"/>
      <c r="M72" s="1"/>
      <c r="N72" s="1"/>
      <c r="O72" s="1"/>
      <c r="P72" s="1"/>
      <c r="Q72" s="1"/>
      <c r="R72" s="1"/>
      <c r="S72" s="2"/>
      <c r="T72" s="2"/>
      <c r="U72" s="1"/>
      <c r="V72" s="5"/>
    </row>
    <row r="73" spans="5:22" s="6" customFormat="1" ht="11.25" x14ac:dyDescent="0.2">
      <c r="E73" s="7"/>
      <c r="F73" s="1"/>
      <c r="I73" s="8"/>
      <c r="K73" s="8"/>
      <c r="L73" s="1"/>
      <c r="M73" s="1"/>
      <c r="N73" s="1"/>
      <c r="O73" s="1"/>
      <c r="P73" s="1"/>
      <c r="Q73" s="1"/>
      <c r="R73" s="1"/>
      <c r="S73" s="2"/>
      <c r="T73" s="2"/>
      <c r="U73" s="1"/>
      <c r="V73" s="5"/>
    </row>
    <row r="74" spans="5:22" s="6" customFormat="1" ht="11.25" x14ac:dyDescent="0.2">
      <c r="E74" s="7"/>
      <c r="F74" s="1"/>
      <c r="I74" s="8"/>
      <c r="K74" s="8"/>
      <c r="L74" s="1"/>
      <c r="M74" s="1"/>
      <c r="N74" s="1"/>
      <c r="O74" s="1"/>
      <c r="P74" s="1"/>
      <c r="Q74" s="1"/>
      <c r="R74" s="1"/>
      <c r="S74" s="2"/>
      <c r="T74" s="2"/>
      <c r="U74" s="1"/>
      <c r="V74" s="5"/>
    </row>
    <row r="75" spans="5:22" s="6" customFormat="1" ht="11.25" x14ac:dyDescent="0.2">
      <c r="E75" s="7"/>
      <c r="F75" s="1"/>
      <c r="I75" s="8"/>
      <c r="K75" s="8"/>
      <c r="L75" s="1"/>
      <c r="M75" s="1"/>
      <c r="N75" s="1"/>
      <c r="O75" s="1"/>
      <c r="P75" s="1"/>
      <c r="Q75" s="1"/>
      <c r="R75" s="1"/>
      <c r="S75" s="2"/>
      <c r="T75" s="2"/>
      <c r="U75" s="1"/>
      <c r="V75" s="5"/>
    </row>
    <row r="76" spans="5:22" s="6" customFormat="1" ht="11.25" x14ac:dyDescent="0.2">
      <c r="E76" s="7"/>
      <c r="F76" s="1"/>
      <c r="I76" s="8"/>
      <c r="K76" s="8"/>
      <c r="L76" s="1"/>
      <c r="M76" s="1"/>
      <c r="N76" s="1"/>
      <c r="O76" s="1"/>
      <c r="P76" s="1"/>
      <c r="Q76" s="1"/>
      <c r="R76" s="1"/>
      <c r="S76" s="2"/>
      <c r="T76" s="2"/>
      <c r="U76" s="1"/>
      <c r="V76" s="5"/>
    </row>
    <row r="77" spans="5:22" s="6" customFormat="1" ht="11.25" x14ac:dyDescent="0.2">
      <c r="E77" s="7"/>
      <c r="F77" s="1"/>
      <c r="I77" s="8"/>
      <c r="K77" s="8"/>
      <c r="L77" s="1"/>
      <c r="M77" s="1"/>
      <c r="N77" s="1"/>
      <c r="O77" s="1"/>
      <c r="P77" s="1"/>
      <c r="Q77" s="1"/>
      <c r="R77" s="1"/>
      <c r="S77" s="2"/>
      <c r="T77" s="2"/>
      <c r="U77" s="1"/>
      <c r="V77" s="5"/>
    </row>
    <row r="78" spans="5:22" s="6" customFormat="1" ht="11.25" x14ac:dyDescent="0.2">
      <c r="E78" s="7"/>
      <c r="F78" s="1"/>
      <c r="I78" s="8"/>
      <c r="K78" s="8"/>
      <c r="L78" s="1"/>
      <c r="M78" s="1"/>
      <c r="N78" s="1"/>
      <c r="O78" s="1"/>
      <c r="P78" s="1"/>
      <c r="Q78" s="1"/>
      <c r="R78" s="1"/>
      <c r="S78" s="2"/>
      <c r="T78" s="2"/>
      <c r="U78" s="1"/>
      <c r="V78" s="5"/>
    </row>
    <row r="79" spans="5:22" s="6" customFormat="1" ht="11.25" x14ac:dyDescent="0.2">
      <c r="E79" s="7"/>
      <c r="F79" s="1"/>
      <c r="I79" s="8"/>
      <c r="K79" s="8"/>
      <c r="L79" s="1"/>
      <c r="M79" s="1"/>
      <c r="N79" s="1"/>
      <c r="O79" s="1"/>
      <c r="P79" s="1"/>
      <c r="Q79" s="1"/>
      <c r="R79" s="1"/>
      <c r="S79" s="2"/>
      <c r="T79" s="2"/>
      <c r="U79" s="1"/>
      <c r="V79" s="5"/>
    </row>
    <row r="80" spans="5:22" s="6" customFormat="1" ht="11.25" x14ac:dyDescent="0.2">
      <c r="E80" s="7"/>
      <c r="F80" s="1"/>
      <c r="I80" s="8"/>
      <c r="K80" s="8"/>
      <c r="L80" s="1"/>
      <c r="M80" s="1"/>
      <c r="N80" s="1"/>
      <c r="O80" s="1"/>
      <c r="P80" s="1"/>
      <c r="Q80" s="1"/>
      <c r="R80" s="1"/>
      <c r="S80" s="2"/>
      <c r="T80" s="2"/>
      <c r="U80" s="1"/>
      <c r="V80" s="5"/>
    </row>
    <row r="81" spans="5:22" s="6" customFormat="1" ht="11.25" x14ac:dyDescent="0.2">
      <c r="E81" s="7"/>
      <c r="F81" s="1"/>
      <c r="I81" s="8"/>
      <c r="K81" s="8"/>
      <c r="L81" s="1"/>
      <c r="M81" s="1"/>
      <c r="N81" s="1"/>
      <c r="O81" s="1"/>
      <c r="P81" s="1"/>
      <c r="Q81" s="1"/>
      <c r="R81" s="1"/>
      <c r="S81" s="2"/>
      <c r="T81" s="2"/>
      <c r="U81" s="1"/>
      <c r="V81" s="5"/>
    </row>
    <row r="82" spans="5:22" s="6" customFormat="1" ht="11.25" x14ac:dyDescent="0.2">
      <c r="E82" s="7"/>
      <c r="F82" s="1"/>
      <c r="I82" s="8"/>
      <c r="K82" s="8"/>
      <c r="L82" s="1"/>
      <c r="M82" s="1"/>
      <c r="N82" s="1"/>
      <c r="O82" s="1"/>
      <c r="P82" s="1"/>
      <c r="Q82" s="1"/>
      <c r="R82" s="1"/>
      <c r="S82" s="2"/>
      <c r="T82" s="2"/>
      <c r="U82" s="1"/>
      <c r="V82" s="5"/>
    </row>
    <row r="83" spans="5:22" s="6" customFormat="1" ht="11.25" x14ac:dyDescent="0.2">
      <c r="E83" s="7"/>
      <c r="F83" s="1"/>
      <c r="I83" s="8"/>
      <c r="K83" s="8"/>
      <c r="L83" s="1"/>
      <c r="M83" s="1"/>
      <c r="N83" s="1"/>
      <c r="O83" s="1"/>
      <c r="P83" s="1"/>
      <c r="Q83" s="1"/>
      <c r="R83" s="1"/>
      <c r="S83" s="2"/>
      <c r="T83" s="2"/>
      <c r="U83" s="1"/>
      <c r="V83" s="5"/>
    </row>
    <row r="84" spans="5:22" s="6" customFormat="1" ht="11.25" x14ac:dyDescent="0.2">
      <c r="E84" s="7"/>
      <c r="F84" s="1"/>
      <c r="I84" s="8"/>
      <c r="K84" s="8"/>
      <c r="L84" s="1"/>
      <c r="M84" s="1"/>
      <c r="N84" s="1"/>
      <c r="O84" s="1"/>
      <c r="P84" s="1"/>
      <c r="Q84" s="1"/>
      <c r="R84" s="1"/>
      <c r="S84" s="2"/>
      <c r="T84" s="2"/>
      <c r="U84" s="1"/>
      <c r="V84" s="5"/>
    </row>
    <row r="85" spans="5:22" s="6" customFormat="1" ht="11.25" x14ac:dyDescent="0.2">
      <c r="E85" s="7"/>
      <c r="F85" s="1"/>
      <c r="I85" s="8"/>
      <c r="K85" s="8"/>
      <c r="L85" s="1"/>
      <c r="M85" s="1"/>
      <c r="N85" s="1"/>
      <c r="O85" s="1"/>
      <c r="P85" s="1"/>
      <c r="Q85" s="1"/>
      <c r="R85" s="1"/>
      <c r="S85" s="2"/>
      <c r="T85" s="2"/>
      <c r="U85" s="1"/>
      <c r="V85" s="5"/>
    </row>
    <row r="86" spans="5:22" s="6" customFormat="1" ht="11.25" x14ac:dyDescent="0.2">
      <c r="E86" s="7"/>
      <c r="F86" s="1"/>
      <c r="I86" s="8"/>
      <c r="K86" s="8"/>
      <c r="L86" s="1"/>
      <c r="M86" s="1"/>
      <c r="N86" s="1"/>
      <c r="O86" s="1"/>
      <c r="P86" s="1"/>
      <c r="Q86" s="1"/>
      <c r="R86" s="1"/>
      <c r="S86" s="2"/>
      <c r="T86" s="2"/>
      <c r="U86" s="1"/>
      <c r="V86" s="5"/>
    </row>
    <row r="87" spans="5:22" s="6" customFormat="1" ht="11.25" x14ac:dyDescent="0.2">
      <c r="E87" s="7"/>
      <c r="F87" s="1"/>
      <c r="I87" s="8"/>
      <c r="K87" s="8"/>
      <c r="L87" s="1"/>
      <c r="M87" s="1"/>
      <c r="N87" s="1"/>
      <c r="O87" s="1"/>
      <c r="P87" s="1"/>
      <c r="Q87" s="1"/>
      <c r="R87" s="1"/>
      <c r="S87" s="2"/>
      <c r="T87" s="2"/>
      <c r="U87" s="1"/>
      <c r="V87" s="5"/>
    </row>
    <row r="88" spans="5:22" s="6" customFormat="1" ht="11.25" x14ac:dyDescent="0.2">
      <c r="E88" s="7"/>
      <c r="F88" s="1"/>
      <c r="I88" s="8"/>
      <c r="K88" s="8"/>
      <c r="L88" s="1"/>
      <c r="M88" s="1"/>
      <c r="N88" s="1"/>
      <c r="O88" s="1"/>
      <c r="P88" s="1"/>
      <c r="Q88" s="1"/>
      <c r="R88" s="1"/>
      <c r="S88" s="2"/>
      <c r="T88" s="2"/>
      <c r="U88" s="1"/>
      <c r="V88" s="5"/>
    </row>
    <row r="89" spans="5:22" s="6" customFormat="1" ht="11.25" x14ac:dyDescent="0.2">
      <c r="E89" s="7"/>
      <c r="F89" s="1"/>
      <c r="I89" s="8"/>
      <c r="K89" s="8"/>
      <c r="L89" s="1"/>
      <c r="M89" s="1"/>
      <c r="N89" s="1"/>
      <c r="O89" s="1"/>
      <c r="P89" s="1"/>
      <c r="Q89" s="1"/>
      <c r="R89" s="1"/>
      <c r="S89" s="2"/>
      <c r="T89" s="2"/>
      <c r="U89" s="1"/>
      <c r="V89" s="5"/>
    </row>
    <row r="90" spans="5:22" s="6" customFormat="1" ht="11.25" x14ac:dyDescent="0.2">
      <c r="E90" s="7"/>
      <c r="F90" s="1"/>
      <c r="I90" s="8"/>
      <c r="K90" s="8"/>
      <c r="L90" s="1"/>
      <c r="M90" s="1"/>
      <c r="N90" s="1"/>
      <c r="O90" s="1"/>
      <c r="P90" s="1"/>
      <c r="Q90" s="1"/>
      <c r="R90" s="1"/>
      <c r="S90" s="2"/>
      <c r="T90" s="2"/>
      <c r="U90" s="1"/>
      <c r="V90" s="5"/>
    </row>
    <row r="91" spans="5:22" s="6" customFormat="1" ht="11.25" x14ac:dyDescent="0.2">
      <c r="E91" s="7"/>
      <c r="F91" s="1"/>
      <c r="I91" s="8"/>
      <c r="K91" s="8"/>
      <c r="L91" s="1"/>
      <c r="M91" s="1"/>
      <c r="N91" s="1"/>
      <c r="O91" s="1"/>
      <c r="P91" s="1"/>
      <c r="Q91" s="1"/>
      <c r="R91" s="1"/>
      <c r="S91" s="2"/>
      <c r="T91" s="2"/>
      <c r="U91" s="1"/>
      <c r="V91" s="5"/>
    </row>
    <row r="92" spans="5:22" s="6" customFormat="1" ht="11.25" x14ac:dyDescent="0.2">
      <c r="E92" s="7"/>
      <c r="F92" s="1"/>
      <c r="I92" s="8"/>
      <c r="K92" s="8"/>
      <c r="L92" s="1"/>
      <c r="M92" s="1"/>
      <c r="N92" s="1"/>
      <c r="O92" s="1"/>
      <c r="P92" s="1"/>
      <c r="Q92" s="1"/>
      <c r="R92" s="1"/>
      <c r="S92" s="2"/>
      <c r="T92" s="2"/>
      <c r="U92" s="1"/>
      <c r="V92" s="5"/>
    </row>
    <row r="93" spans="5:22" s="6" customFormat="1" ht="11.25" x14ac:dyDescent="0.2">
      <c r="E93" s="7"/>
      <c r="F93" s="1"/>
      <c r="I93" s="8"/>
      <c r="K93" s="8"/>
      <c r="L93" s="1"/>
      <c r="M93" s="1"/>
      <c r="N93" s="1"/>
      <c r="O93" s="1"/>
      <c r="P93" s="1"/>
      <c r="Q93" s="1"/>
      <c r="R93" s="1"/>
      <c r="S93" s="2"/>
      <c r="T93" s="2"/>
      <c r="U93" s="1"/>
      <c r="V93" s="5"/>
    </row>
    <row r="94" spans="5:22" s="6" customFormat="1" ht="11.25" x14ac:dyDescent="0.2">
      <c r="E94" s="7"/>
      <c r="F94" s="1"/>
      <c r="I94" s="8"/>
      <c r="K94" s="8"/>
      <c r="L94" s="1"/>
      <c r="M94" s="1"/>
      <c r="N94" s="1"/>
      <c r="O94" s="1"/>
      <c r="P94" s="1"/>
      <c r="Q94" s="1"/>
      <c r="R94" s="1"/>
      <c r="S94" s="2"/>
      <c r="T94" s="2"/>
      <c r="U94" s="1"/>
      <c r="V94" s="5"/>
    </row>
    <row r="95" spans="5:22" s="6" customFormat="1" ht="11.25" x14ac:dyDescent="0.2">
      <c r="E95" s="7"/>
      <c r="F95" s="1"/>
      <c r="I95" s="8"/>
      <c r="K95" s="8"/>
      <c r="L95" s="1"/>
      <c r="M95" s="1"/>
      <c r="N95" s="1"/>
      <c r="O95" s="1"/>
      <c r="P95" s="1"/>
      <c r="Q95" s="1"/>
      <c r="R95" s="1"/>
      <c r="S95" s="2"/>
      <c r="T95" s="2"/>
      <c r="U95" s="1"/>
      <c r="V95" s="5"/>
    </row>
    <row r="96" spans="5:22" s="6" customFormat="1" ht="11.25" x14ac:dyDescent="0.2">
      <c r="E96" s="7"/>
      <c r="F96" s="1"/>
      <c r="I96" s="8"/>
      <c r="K96" s="8"/>
      <c r="L96" s="1"/>
      <c r="M96" s="1"/>
      <c r="N96" s="1"/>
      <c r="O96" s="1"/>
      <c r="P96" s="1"/>
      <c r="Q96" s="1"/>
      <c r="R96" s="1"/>
      <c r="S96" s="2"/>
      <c r="T96" s="2"/>
      <c r="U96" s="1"/>
      <c r="V96" s="5"/>
    </row>
    <row r="97" spans="5:22" s="6" customFormat="1" ht="11.25" x14ac:dyDescent="0.2">
      <c r="E97" s="7"/>
      <c r="F97" s="1"/>
      <c r="I97" s="8"/>
      <c r="K97" s="8"/>
      <c r="L97" s="1"/>
      <c r="M97" s="1"/>
      <c r="N97" s="1"/>
      <c r="O97" s="1"/>
      <c r="P97" s="1"/>
      <c r="Q97" s="1"/>
      <c r="R97" s="1"/>
      <c r="S97" s="2"/>
      <c r="T97" s="2"/>
      <c r="U97" s="1"/>
      <c r="V97" s="5"/>
    </row>
    <row r="98" spans="5:22" s="6" customFormat="1" ht="11.25" x14ac:dyDescent="0.2">
      <c r="E98" s="7"/>
      <c r="F98" s="1"/>
      <c r="I98" s="8"/>
      <c r="K98" s="8"/>
      <c r="L98" s="1"/>
      <c r="M98" s="1"/>
      <c r="N98" s="1"/>
      <c r="O98" s="1"/>
      <c r="P98" s="1"/>
      <c r="Q98" s="1"/>
      <c r="R98" s="1"/>
      <c r="S98" s="2"/>
      <c r="T98" s="2"/>
      <c r="U98" s="1"/>
      <c r="V98" s="5"/>
    </row>
    <row r="99" spans="5:22" s="6" customFormat="1" ht="11.25" x14ac:dyDescent="0.2">
      <c r="E99" s="7"/>
      <c r="F99" s="1"/>
      <c r="I99" s="8"/>
      <c r="K99" s="8"/>
      <c r="L99" s="1"/>
      <c r="M99" s="1"/>
      <c r="N99" s="1"/>
      <c r="O99" s="1"/>
      <c r="P99" s="1"/>
      <c r="Q99" s="1"/>
      <c r="R99" s="1"/>
      <c r="S99" s="2"/>
      <c r="T99" s="2"/>
      <c r="U99" s="1"/>
      <c r="V99" s="5"/>
    </row>
    <row r="100" spans="5:22" s="6" customFormat="1" ht="11.25" x14ac:dyDescent="0.2">
      <c r="E100" s="7"/>
      <c r="F100" s="1"/>
      <c r="I100" s="8"/>
      <c r="K100" s="8"/>
      <c r="L100" s="1"/>
      <c r="M100" s="1"/>
      <c r="N100" s="1"/>
      <c r="O100" s="1"/>
      <c r="P100" s="1"/>
      <c r="Q100" s="1"/>
      <c r="R100" s="1"/>
      <c r="S100" s="2"/>
      <c r="T100" s="2"/>
      <c r="U100" s="1"/>
      <c r="V100" s="5"/>
    </row>
    <row r="101" spans="5:22" s="6" customFormat="1" ht="11.25" x14ac:dyDescent="0.2">
      <c r="E101" s="7"/>
      <c r="F101" s="1"/>
      <c r="I101" s="8"/>
      <c r="K101" s="8"/>
      <c r="L101" s="1"/>
      <c r="M101" s="1"/>
      <c r="N101" s="1"/>
      <c r="O101" s="1"/>
      <c r="P101" s="1"/>
      <c r="Q101" s="1"/>
      <c r="R101" s="1"/>
      <c r="S101" s="2"/>
      <c r="T101" s="2"/>
      <c r="U101" s="1"/>
      <c r="V101" s="5"/>
    </row>
    <row r="102" spans="5:22" s="6" customFormat="1" ht="11.25" x14ac:dyDescent="0.2">
      <c r="E102" s="7"/>
      <c r="F102" s="1"/>
      <c r="I102" s="8"/>
      <c r="K102" s="8"/>
      <c r="L102" s="1"/>
      <c r="M102" s="1"/>
      <c r="N102" s="1"/>
      <c r="O102" s="1"/>
      <c r="P102" s="1"/>
      <c r="Q102" s="1"/>
      <c r="R102" s="1"/>
      <c r="S102" s="2"/>
      <c r="T102" s="2"/>
      <c r="U102" s="1"/>
      <c r="V102" s="5"/>
    </row>
    <row r="103" spans="5:22" s="6" customFormat="1" ht="11.25" x14ac:dyDescent="0.2">
      <c r="E103" s="7"/>
      <c r="F103" s="1"/>
      <c r="I103" s="8"/>
      <c r="K103" s="8"/>
      <c r="L103" s="1"/>
      <c r="M103" s="1"/>
      <c r="N103" s="1"/>
      <c r="O103" s="1"/>
      <c r="P103" s="1"/>
      <c r="Q103" s="1"/>
      <c r="R103" s="1"/>
      <c r="S103" s="2"/>
      <c r="T103" s="2"/>
      <c r="U103" s="1"/>
      <c r="V103" s="5"/>
    </row>
    <row r="104" spans="5:22" s="6" customFormat="1" ht="11.25" x14ac:dyDescent="0.2">
      <c r="E104" s="7"/>
      <c r="F104" s="1"/>
      <c r="I104" s="8"/>
      <c r="K104" s="8"/>
      <c r="L104" s="1"/>
      <c r="M104" s="1"/>
      <c r="N104" s="1"/>
      <c r="O104" s="1"/>
      <c r="P104" s="1"/>
      <c r="Q104" s="1"/>
      <c r="R104" s="1"/>
      <c r="S104" s="2"/>
      <c r="T104" s="2"/>
      <c r="U104" s="1"/>
      <c r="V104" s="5"/>
    </row>
    <row r="105" spans="5:22" s="6" customFormat="1" ht="11.25" x14ac:dyDescent="0.2">
      <c r="E105" s="7"/>
      <c r="F105" s="1"/>
      <c r="I105" s="8"/>
      <c r="K105" s="8"/>
      <c r="L105" s="1"/>
      <c r="M105" s="1"/>
      <c r="N105" s="1"/>
      <c r="O105" s="1"/>
      <c r="P105" s="1"/>
      <c r="Q105" s="1"/>
      <c r="R105" s="1"/>
      <c r="S105" s="2"/>
      <c r="T105" s="2"/>
      <c r="U105" s="1"/>
      <c r="V105" s="5"/>
    </row>
    <row r="106" spans="5:22" s="6" customFormat="1" ht="11.25" x14ac:dyDescent="0.2">
      <c r="E106" s="7"/>
      <c r="F106" s="1"/>
      <c r="I106" s="8"/>
      <c r="K106" s="8"/>
      <c r="L106" s="1"/>
      <c r="M106" s="1"/>
      <c r="N106" s="1"/>
      <c r="O106" s="1"/>
      <c r="P106" s="1"/>
      <c r="Q106" s="1"/>
      <c r="R106" s="1"/>
      <c r="S106" s="2"/>
      <c r="T106" s="2"/>
      <c r="U106" s="1"/>
      <c r="V106" s="5"/>
    </row>
    <row r="107" spans="5:22" s="6" customFormat="1" ht="11.25" x14ac:dyDescent="0.2">
      <c r="E107" s="7"/>
      <c r="F107" s="1"/>
      <c r="I107" s="8"/>
      <c r="K107" s="8"/>
      <c r="L107" s="1"/>
      <c r="M107" s="1"/>
      <c r="N107" s="1"/>
      <c r="O107" s="1"/>
      <c r="P107" s="1"/>
      <c r="Q107" s="1"/>
      <c r="R107" s="1"/>
      <c r="S107" s="2"/>
      <c r="T107" s="2"/>
      <c r="U107" s="1"/>
      <c r="V107" s="5"/>
    </row>
    <row r="108" spans="5:22" s="6" customFormat="1" ht="11.25" x14ac:dyDescent="0.2">
      <c r="E108" s="7"/>
      <c r="F108" s="1"/>
      <c r="I108" s="8"/>
      <c r="K108" s="8"/>
      <c r="L108" s="1"/>
      <c r="M108" s="1"/>
      <c r="N108" s="1"/>
      <c r="O108" s="1"/>
      <c r="P108" s="1"/>
      <c r="Q108" s="1"/>
      <c r="R108" s="1"/>
      <c r="S108" s="2"/>
      <c r="T108" s="2"/>
      <c r="U108" s="1"/>
      <c r="V108" s="5"/>
    </row>
    <row r="109" spans="5:22" s="6" customFormat="1" ht="11.25" x14ac:dyDescent="0.2">
      <c r="E109" s="7"/>
      <c r="F109" s="1"/>
      <c r="I109" s="8"/>
      <c r="K109" s="8"/>
      <c r="L109" s="1"/>
      <c r="M109" s="1"/>
      <c r="N109" s="1"/>
      <c r="O109" s="1"/>
      <c r="P109" s="1"/>
      <c r="Q109" s="1"/>
      <c r="R109" s="1"/>
      <c r="S109" s="2"/>
      <c r="T109" s="2"/>
      <c r="U109" s="1"/>
      <c r="V109" s="5"/>
    </row>
    <row r="110" spans="5:22" s="6" customFormat="1" ht="11.25" x14ac:dyDescent="0.2">
      <c r="E110" s="7"/>
      <c r="F110" s="1"/>
      <c r="I110" s="8"/>
      <c r="K110" s="8"/>
      <c r="L110" s="1"/>
      <c r="M110" s="1"/>
      <c r="N110" s="1"/>
      <c r="O110" s="1"/>
      <c r="P110" s="1"/>
      <c r="Q110" s="1"/>
      <c r="R110" s="1"/>
      <c r="S110" s="2"/>
      <c r="T110" s="2"/>
      <c r="U110" s="1"/>
      <c r="V110" s="5"/>
    </row>
    <row r="111" spans="5:22" s="6" customFormat="1" ht="11.25" x14ac:dyDescent="0.2">
      <c r="E111" s="7"/>
      <c r="F111" s="1"/>
      <c r="I111" s="8"/>
      <c r="K111" s="8"/>
      <c r="L111" s="1"/>
      <c r="M111" s="1"/>
      <c r="N111" s="1"/>
      <c r="O111" s="1"/>
      <c r="P111" s="1"/>
      <c r="Q111" s="1"/>
      <c r="R111" s="1"/>
      <c r="S111" s="2"/>
      <c r="T111" s="2"/>
      <c r="U111" s="1"/>
      <c r="V111" s="5"/>
    </row>
    <row r="112" spans="5:22" s="6" customFormat="1" ht="11.25" x14ac:dyDescent="0.2">
      <c r="E112" s="7"/>
      <c r="F112" s="1"/>
      <c r="I112" s="8"/>
      <c r="K112" s="8"/>
      <c r="L112" s="1"/>
      <c r="M112" s="1"/>
      <c r="N112" s="1"/>
      <c r="O112" s="1"/>
      <c r="P112" s="1"/>
      <c r="Q112" s="1"/>
      <c r="R112" s="1"/>
      <c r="S112" s="2"/>
      <c r="T112" s="2"/>
      <c r="U112" s="1"/>
      <c r="V112" s="5"/>
    </row>
    <row r="113" spans="5:27" s="6" customFormat="1" ht="11.25" x14ac:dyDescent="0.2">
      <c r="E113" s="7"/>
      <c r="F113" s="1"/>
      <c r="I113" s="8"/>
      <c r="K113" s="8"/>
      <c r="L113" s="1"/>
      <c r="M113" s="1"/>
      <c r="N113" s="1"/>
      <c r="O113" s="1"/>
      <c r="P113" s="1"/>
      <c r="Q113" s="1"/>
      <c r="R113" s="1"/>
      <c r="S113" s="2"/>
      <c r="T113" s="2"/>
      <c r="U113" s="1"/>
      <c r="V113" s="5"/>
    </row>
    <row r="114" spans="5:27" s="6" customFormat="1" ht="11.25" x14ac:dyDescent="0.2">
      <c r="E114" s="7"/>
      <c r="F114" s="1"/>
      <c r="I114" s="8"/>
      <c r="K114" s="8"/>
      <c r="L114" s="1"/>
      <c r="M114" s="1"/>
      <c r="N114" s="1"/>
      <c r="O114" s="1"/>
      <c r="P114" s="1"/>
      <c r="Q114" s="1"/>
      <c r="R114" s="1"/>
      <c r="S114" s="2"/>
      <c r="T114" s="2"/>
      <c r="U114" s="1"/>
      <c r="V114" s="5"/>
    </row>
    <row r="115" spans="5:27" s="6" customFormat="1" ht="11.25" x14ac:dyDescent="0.2">
      <c r="E115" s="7"/>
      <c r="F115" s="1"/>
      <c r="I115" s="8"/>
      <c r="K115" s="8"/>
      <c r="L115" s="1"/>
      <c r="M115" s="1"/>
      <c r="N115" s="1"/>
      <c r="O115" s="1"/>
      <c r="P115" s="1"/>
      <c r="Q115" s="1"/>
      <c r="R115" s="1"/>
      <c r="S115" s="2"/>
      <c r="T115" s="2"/>
      <c r="U115" s="1"/>
      <c r="V115" s="5"/>
    </row>
    <row r="116" spans="5:27" s="6" customFormat="1" ht="11.25" x14ac:dyDescent="0.2">
      <c r="E116" s="7"/>
      <c r="F116" s="1"/>
      <c r="I116" s="8"/>
      <c r="K116" s="8"/>
      <c r="L116" s="1"/>
      <c r="M116" s="1"/>
      <c r="N116" s="1"/>
      <c r="O116" s="1"/>
      <c r="P116" s="1"/>
      <c r="Q116" s="1"/>
      <c r="R116" s="1"/>
      <c r="S116" s="2"/>
      <c r="T116" s="2"/>
      <c r="U116" s="1"/>
      <c r="V116" s="5"/>
    </row>
    <row r="117" spans="5:27" s="6" customFormat="1" ht="11.25" x14ac:dyDescent="0.2">
      <c r="E117" s="7"/>
      <c r="F117" s="1"/>
      <c r="I117" s="8"/>
      <c r="K117" s="8"/>
      <c r="L117" s="1"/>
      <c r="M117" s="1"/>
      <c r="N117" s="1"/>
      <c r="O117" s="1"/>
      <c r="P117" s="1"/>
      <c r="Q117" s="1"/>
      <c r="R117" s="1"/>
      <c r="S117" s="2"/>
      <c r="T117" s="2"/>
      <c r="U117" s="1"/>
      <c r="V117" s="5"/>
    </row>
    <row r="118" spans="5:27" s="6" customFormat="1" ht="11.25" x14ac:dyDescent="0.2">
      <c r="E118" s="7"/>
      <c r="F118" s="1"/>
      <c r="I118" s="8"/>
      <c r="K118" s="15"/>
      <c r="L118" s="16"/>
      <c r="M118" s="16"/>
      <c r="N118" s="16"/>
      <c r="O118" s="16"/>
      <c r="P118" s="12"/>
      <c r="Q118" s="12"/>
      <c r="R118" s="12"/>
      <c r="S118" s="17"/>
      <c r="T118" s="2"/>
      <c r="U118" s="1"/>
      <c r="V118" s="5"/>
      <c r="Y118" s="9"/>
      <c r="Z118" s="9"/>
      <c r="AA118" s="9"/>
    </row>
    <row r="119" spans="5:27" x14ac:dyDescent="0.2">
      <c r="V119" s="5"/>
    </row>
  </sheetData>
  <sheetProtection sheet="1" objects="1" scenarios="1"/>
  <conditionalFormatting sqref="D13:D14">
    <cfRule type="cellIs" dxfId="7" priority="7" operator="notEqual">
      <formula>"ok"</formula>
    </cfRule>
    <cfRule type="cellIs" dxfId="6" priority="8" operator="equal">
      <formula>"OK"</formula>
    </cfRule>
  </conditionalFormatting>
  <conditionalFormatting sqref="B19">
    <cfRule type="cellIs" dxfId="5" priority="5" operator="greaterThan">
      <formula>$B$27</formula>
    </cfRule>
    <cfRule type="cellIs" dxfId="4" priority="6" operator="lessThanOrEqual">
      <formula>$B$27</formula>
    </cfRule>
  </conditionalFormatting>
  <conditionalFormatting sqref="B20:B21">
    <cfRule type="cellIs" dxfId="3" priority="3" operator="notEqual">
      <formula>"OK"</formula>
    </cfRule>
    <cfRule type="cellIs" dxfId="2" priority="4" operator="equal">
      <formula>"OK"</formula>
    </cfRule>
  </conditionalFormatting>
  <conditionalFormatting sqref="C19:C21">
    <cfRule type="cellIs" dxfId="1" priority="1" operator="notEqual">
      <formula>"GO"</formula>
    </cfRule>
    <cfRule type="cellIs" dxfId="0" priority="2" operator="equal">
      <formula>"GO"</formula>
    </cfRule>
  </conditionalFormatting>
  <printOptions horizontalCentered="1" gridLinesSet="0"/>
  <pageMargins left="0.35" right="0.21" top="0.44" bottom="0.81" header="0.5" footer="0.5"/>
  <pageSetup orientation="landscape" horizontalDpi="4294967292" verticalDpi="4294967292" r:id="rId1"/>
  <headerFooter alignWithMargins="0">
    <oddFooter>&amp;L&amp;"Arial,Bold"C-172M Weight &amp;&amp; Balance&amp;R&amp;"Arial,Bold"Printed: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Q4:S25"/>
  <sheetViews>
    <sheetView showGridLines="0" showOutlineSymbols="0" topLeftCell="D1" workbookViewId="0">
      <selection activeCell="T22" sqref="T22"/>
    </sheetView>
  </sheetViews>
  <sheetFormatPr defaultRowHeight="12.75" x14ac:dyDescent="0.2"/>
  <cols>
    <col min="17" max="17" width="10.140625" bestFit="1" customWidth="1"/>
  </cols>
  <sheetData>
    <row r="4" spans="17:19" x14ac:dyDescent="0.2">
      <c r="Q4" t="s">
        <v>26</v>
      </c>
      <c r="R4" t="s">
        <v>10</v>
      </c>
      <c r="S4" t="s">
        <v>8</v>
      </c>
    </row>
    <row r="5" spans="17:19" x14ac:dyDescent="0.2">
      <c r="Q5" t="s">
        <v>27</v>
      </c>
      <c r="R5">
        <v>0</v>
      </c>
      <c r="S5">
        <v>0</v>
      </c>
    </row>
    <row r="6" spans="17:19" x14ac:dyDescent="0.2">
      <c r="R6">
        <v>15</v>
      </c>
      <c r="S6">
        <v>400</v>
      </c>
    </row>
    <row r="7" spans="17:19" x14ac:dyDescent="0.2">
      <c r="Q7" t="s">
        <v>28</v>
      </c>
      <c r="R7">
        <v>0</v>
      </c>
      <c r="S7">
        <v>0</v>
      </c>
    </row>
    <row r="8" spans="17:19" x14ac:dyDescent="0.2">
      <c r="R8">
        <v>22.75</v>
      </c>
      <c r="S8">
        <v>475</v>
      </c>
    </row>
    <row r="9" spans="17:19" x14ac:dyDescent="0.2">
      <c r="Q9" t="s">
        <v>29</v>
      </c>
      <c r="R9">
        <v>0</v>
      </c>
      <c r="S9">
        <v>0</v>
      </c>
    </row>
    <row r="10" spans="17:19" x14ac:dyDescent="0.2">
      <c r="R10">
        <v>29.5</v>
      </c>
      <c r="S10">
        <v>400</v>
      </c>
    </row>
    <row r="11" spans="17:19" x14ac:dyDescent="0.2">
      <c r="Q11" t="s">
        <v>30</v>
      </c>
      <c r="R11">
        <v>0</v>
      </c>
      <c r="S11">
        <v>0</v>
      </c>
    </row>
    <row r="12" spans="17:19" x14ac:dyDescent="0.2">
      <c r="R12">
        <v>12</v>
      </c>
      <c r="S12">
        <v>120</v>
      </c>
    </row>
    <row r="13" spans="17:19" x14ac:dyDescent="0.2">
      <c r="Q13" t="s">
        <v>31</v>
      </c>
      <c r="R13">
        <v>0</v>
      </c>
      <c r="S13">
        <v>0</v>
      </c>
    </row>
    <row r="14" spans="17:19" x14ac:dyDescent="0.2">
      <c r="R14">
        <v>9.25</v>
      </c>
      <c r="S14">
        <v>80</v>
      </c>
    </row>
    <row r="17" spans="17:19" x14ac:dyDescent="0.2">
      <c r="R17" s="99">
        <f>INTERCEPT(S13:S14,R13:R14)</f>
        <v>0</v>
      </c>
      <c r="S17">
        <f>FORECAST(80,R13:R14,S13:S14)</f>
        <v>9.25</v>
      </c>
    </row>
    <row r="20" spans="17:19" x14ac:dyDescent="0.2">
      <c r="Q20">
        <v>5</v>
      </c>
      <c r="R20">
        <v>12</v>
      </c>
    </row>
    <row r="21" spans="17:19" x14ac:dyDescent="0.2">
      <c r="Q21">
        <v>10</v>
      </c>
      <c r="R21">
        <v>9</v>
      </c>
    </row>
    <row r="22" spans="17:19" x14ac:dyDescent="0.2">
      <c r="Q22">
        <v>15</v>
      </c>
      <c r="R22">
        <v>6</v>
      </c>
    </row>
    <row r="23" spans="17:19" x14ac:dyDescent="0.2">
      <c r="Q23">
        <v>20</v>
      </c>
      <c r="R23">
        <v>3</v>
      </c>
    </row>
    <row r="25" spans="17:19" x14ac:dyDescent="0.2">
      <c r="R25">
        <f>INTERCEPT(Q20:Q23,R20:R23)</f>
        <v>25</v>
      </c>
    </row>
  </sheetData>
  <printOptions verticalCentered="1"/>
  <pageMargins left="0.75" right="0.48" top="0.24" bottom="1" header="0.5" footer="0.5"/>
  <pageSetup orientation="landscape" horizontalDpi="300" verticalDpi="300" r:id="rId1"/>
  <headerFooter alignWithMargins="0">
    <oddFooter>&amp;L&amp;"Arial,Bold"Cessna 172 Loading Graph&amp;R&amp;"Arial,Bold"Printed: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45</vt:i4>
      </vt:variant>
    </vt:vector>
  </HeadingPairs>
  <TitlesOfParts>
    <vt:vector size="47" baseType="lpstr">
      <vt:lpstr>CG Envelopes</vt:lpstr>
      <vt:lpstr>Loading Graph</vt:lpstr>
      <vt:lpstr>Arrival_Fuel</vt:lpstr>
      <vt:lpstr>Arrival_Fuel_Weight</vt:lpstr>
      <vt:lpstr>Bag_1</vt:lpstr>
      <vt:lpstr>Bag_1_Max</vt:lpstr>
      <vt:lpstr>Bag_2</vt:lpstr>
      <vt:lpstr>Bag_2_Max</vt:lpstr>
      <vt:lpstr>Baggage_1</vt:lpstr>
      <vt:lpstr>Baggage_1_Arm</vt:lpstr>
      <vt:lpstr>Baggage_1_Moment</vt:lpstr>
      <vt:lpstr>Baggage_2</vt:lpstr>
      <vt:lpstr>Baggage_2_Arm</vt:lpstr>
      <vt:lpstr>Baggage_2_Moment</vt:lpstr>
      <vt:lpstr>CoPilot</vt:lpstr>
      <vt:lpstr>Departure_CG</vt:lpstr>
      <vt:lpstr>Departure_Fuel</vt:lpstr>
      <vt:lpstr>Departure_Fuel_Moment</vt:lpstr>
      <vt:lpstr>Departure_Fuel_Weight</vt:lpstr>
      <vt:lpstr>Empty_Arm</vt:lpstr>
      <vt:lpstr>Empty_Moment</vt:lpstr>
      <vt:lpstr>Empty_Weight</vt:lpstr>
      <vt:lpstr>Flight_Time</vt:lpstr>
      <vt:lpstr>Front_Passenger_Arm</vt:lpstr>
      <vt:lpstr>Front_Passenger_Moment</vt:lpstr>
      <vt:lpstr>Front_Passengers</vt:lpstr>
      <vt:lpstr>Fuel</vt:lpstr>
      <vt:lpstr>Fuel_Arm</vt:lpstr>
      <vt:lpstr>Fuel_burn</vt:lpstr>
      <vt:lpstr>Grnd_Ops_Fuel</vt:lpstr>
      <vt:lpstr>Grnd_Ops_Fuel_Weight</vt:lpstr>
      <vt:lpstr>Gross_Weight</vt:lpstr>
      <vt:lpstr>Oil</vt:lpstr>
      <vt:lpstr>Pilot</vt:lpstr>
      <vt:lpstr>'CG Envelopes'!Print_Area</vt:lpstr>
      <vt:lpstr>'Loading Graph'!Print_Area</vt:lpstr>
      <vt:lpstr>Rear_Pass_1</vt:lpstr>
      <vt:lpstr>Rear_Pass_2</vt:lpstr>
      <vt:lpstr>Rear_Passenger_Arm</vt:lpstr>
      <vt:lpstr>Rear_Passenger_Moment</vt:lpstr>
      <vt:lpstr>Rear_Passengers</vt:lpstr>
      <vt:lpstr>Total_Arrival_Arm</vt:lpstr>
      <vt:lpstr>Total_Arrival_Moment</vt:lpstr>
      <vt:lpstr>Total_Arrival_Weight</vt:lpstr>
      <vt:lpstr>Total_Departure_Arm</vt:lpstr>
      <vt:lpstr>Total_Departure_Moment</vt:lpstr>
      <vt:lpstr>Total_Departure_Weight</vt:lpstr>
    </vt:vector>
  </TitlesOfParts>
  <Company>TBC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W&amp;B C182P</dc:title>
  <dc:creator>Kent Thomas</dc:creator>
  <cp:lastModifiedBy>Kent</cp:lastModifiedBy>
  <dcterms:created xsi:type="dcterms:W3CDTF">1996-11-04T02:40:06Z</dcterms:created>
  <dcterms:modified xsi:type="dcterms:W3CDTF">2017-06-17T02:36:15Z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d3042715-445e-4202-b014-65c7502537a0</vt:lpwstr>
  </property>
</Properties>
</file>